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770" windowHeight="12300" tabRatio="769" activeTab="5"/>
  </bookViews>
  <sheets>
    <sheet name="темп граф" sheetId="3" r:id="rId1"/>
    <sheet name="норм втрати" sheetId="4" r:id="rId2"/>
    <sheet name="розрах втрат магістр тр." sheetId="6" r:id="rId3"/>
    <sheet name="розрах втрат УТ3-УТ7" sheetId="9" r:id="rId4"/>
    <sheet name="ТЕО для цілорічн" sheetId="7" r:id="rId5"/>
    <sheet name="УТ3-УТ7" sheetId="8" r:id="rId6"/>
    <sheet name="допоміжн інф" sheetId="11" r:id="rId7"/>
    <sheet name="Отчет о совместимости" sheetId="12" r:id="rId8"/>
  </sheets>
  <definedNames>
    <definedName name="_Toc186444652" localSheetId="6">'допоміжн інф'!$B$18</definedName>
  </definedNames>
  <calcPr calcId="162913"/>
</workbook>
</file>

<file path=xl/calcChain.xml><?xml version="1.0" encoding="utf-8"?>
<calcChain xmlns="http://schemas.openxmlformats.org/spreadsheetml/2006/main">
  <c r="E20" i="7" l="1"/>
  <c r="E9" i="8"/>
  <c r="D48" i="9"/>
  <c r="E67" i="9"/>
  <c r="E66" i="9"/>
  <c r="E65" i="9"/>
  <c r="E64" i="9"/>
  <c r="E63" i="9"/>
  <c r="E62" i="9"/>
  <c r="E20" i="8"/>
  <c r="H55" i="9"/>
  <c r="H47" i="9"/>
  <c r="H46" i="9"/>
  <c r="H58" i="9"/>
  <c r="E19" i="7"/>
  <c r="G10" i="6"/>
  <c r="D10" i="6"/>
  <c r="G10" i="9"/>
  <c r="D10" i="9"/>
  <c r="E10" i="9"/>
  <c r="G260" i="4"/>
  <c r="M8" i="4"/>
  <c r="L8" i="4"/>
  <c r="K8" i="4"/>
  <c r="G164" i="4"/>
  <c r="H164" i="4"/>
  <c r="G166" i="4"/>
  <c r="H166" i="4"/>
  <c r="G167" i="4"/>
  <c r="H167" i="4"/>
  <c r="G168" i="4"/>
  <c r="H168" i="4"/>
  <c r="G169" i="4"/>
  <c r="H169" i="4"/>
  <c r="G170" i="4"/>
  <c r="H170" i="4"/>
  <c r="G171" i="4"/>
  <c r="H171" i="4"/>
  <c r="G172" i="4"/>
  <c r="H172" i="4"/>
  <c r="G173" i="4"/>
  <c r="H173" i="4"/>
  <c r="G174" i="4"/>
  <c r="H174" i="4"/>
  <c r="G175" i="4"/>
  <c r="H175" i="4"/>
  <c r="G176" i="4"/>
  <c r="H176" i="4"/>
  <c r="G177" i="4"/>
  <c r="H177" i="4"/>
  <c r="G178" i="4"/>
  <c r="H178" i="4"/>
  <c r="G179" i="4"/>
  <c r="H179" i="4"/>
  <c r="G180" i="4"/>
  <c r="H180" i="4"/>
  <c r="G181" i="4"/>
  <c r="G141" i="4"/>
  <c r="H141" i="4"/>
  <c r="G142" i="4"/>
  <c r="H142" i="4"/>
  <c r="G143" i="4"/>
  <c r="H143" i="4"/>
  <c r="G144" i="4"/>
  <c r="H144" i="4"/>
  <c r="G145" i="4"/>
  <c r="H145" i="4"/>
  <c r="G146" i="4"/>
  <c r="H146" i="4"/>
  <c r="G147" i="4"/>
  <c r="H147" i="4"/>
  <c r="G148" i="4"/>
  <c r="H148" i="4"/>
  <c r="G149" i="4"/>
  <c r="H149" i="4"/>
  <c r="G150" i="4"/>
  <c r="H150" i="4"/>
  <c r="G151" i="4"/>
  <c r="H151" i="4"/>
  <c r="G152" i="4"/>
  <c r="H152" i="4"/>
  <c r="G153" i="4"/>
  <c r="H153" i="4"/>
  <c r="G154" i="4"/>
  <c r="H154" i="4"/>
  <c r="G155" i="4"/>
  <c r="H155" i="4"/>
  <c r="G156" i="4"/>
  <c r="G157" i="4"/>
  <c r="G158" i="4"/>
  <c r="H158" i="4"/>
  <c r="G159" i="4"/>
  <c r="G140" i="4"/>
  <c r="H140" i="4"/>
  <c r="G72" i="4"/>
  <c r="H72" i="4"/>
  <c r="G73" i="4"/>
  <c r="H73" i="4"/>
  <c r="G74" i="4"/>
  <c r="H74" i="4"/>
  <c r="G75" i="4"/>
  <c r="H75" i="4"/>
  <c r="G76" i="4"/>
  <c r="H76" i="4"/>
  <c r="G77" i="4"/>
  <c r="H77" i="4"/>
  <c r="G78" i="4"/>
  <c r="G79" i="4"/>
  <c r="H79" i="4"/>
  <c r="G80" i="4"/>
  <c r="G81" i="4"/>
  <c r="H81" i="4"/>
  <c r="G82" i="4"/>
  <c r="G83" i="4"/>
  <c r="G84" i="4"/>
  <c r="G85" i="4"/>
  <c r="H85" i="4"/>
  <c r="G86" i="4"/>
  <c r="G87" i="4"/>
  <c r="H87" i="4"/>
  <c r="G70" i="4"/>
  <c r="G65" i="4"/>
  <c r="H65" i="4"/>
  <c r="G47" i="4"/>
  <c r="G48" i="4"/>
  <c r="G49" i="4"/>
  <c r="G50" i="4"/>
  <c r="G51" i="4"/>
  <c r="G52" i="4"/>
  <c r="G53" i="4"/>
  <c r="G54" i="4"/>
  <c r="H54" i="4"/>
  <c r="G55" i="4"/>
  <c r="H55" i="4"/>
  <c r="L55" i="4"/>
  <c r="G56" i="4"/>
  <c r="H56" i="4"/>
  <c r="G57" i="4"/>
  <c r="G58" i="4"/>
  <c r="H58" i="4"/>
  <c r="G59" i="4"/>
  <c r="H59" i="4"/>
  <c r="G60" i="4"/>
  <c r="G61" i="4"/>
  <c r="G62" i="4"/>
  <c r="G63" i="4"/>
  <c r="G64" i="4"/>
  <c r="H64" i="4"/>
  <c r="G46" i="4"/>
  <c r="H46" i="4"/>
  <c r="Y8" i="4"/>
  <c r="X8" i="4"/>
  <c r="W8" i="4"/>
  <c r="G262" i="4"/>
  <c r="G263" i="4"/>
  <c r="G264" i="4"/>
  <c r="H264" i="4"/>
  <c r="L264" i="4"/>
  <c r="G265" i="4"/>
  <c r="I265" i="4"/>
  <c r="H265" i="4"/>
  <c r="G266" i="4"/>
  <c r="H266" i="4"/>
  <c r="G267" i="4"/>
  <c r="H267" i="4"/>
  <c r="G268" i="4"/>
  <c r="H268" i="4"/>
  <c r="G269" i="4"/>
  <c r="H269" i="4"/>
  <c r="G270" i="4"/>
  <c r="H270" i="4"/>
  <c r="G271" i="4"/>
  <c r="G272" i="4"/>
  <c r="G273" i="4"/>
  <c r="H273" i="4"/>
  <c r="G274" i="4"/>
  <c r="H274" i="4"/>
  <c r="G275" i="4"/>
  <c r="G276" i="4"/>
  <c r="H276" i="4"/>
  <c r="I276" i="4"/>
  <c r="G277" i="4"/>
  <c r="I277" i="4"/>
  <c r="J277" i="4"/>
  <c r="G237" i="4"/>
  <c r="I237" i="4"/>
  <c r="J237" i="4"/>
  <c r="G238" i="4"/>
  <c r="H238" i="4"/>
  <c r="G239" i="4"/>
  <c r="H239" i="4"/>
  <c r="G240" i="4"/>
  <c r="H240" i="4"/>
  <c r="L240" i="4"/>
  <c r="G241" i="4"/>
  <c r="G242" i="4"/>
  <c r="G243" i="4"/>
  <c r="I243" i="4"/>
  <c r="G244" i="4"/>
  <c r="H244" i="4"/>
  <c r="G245" i="4"/>
  <c r="G246" i="4"/>
  <c r="H246" i="4"/>
  <c r="G247" i="4"/>
  <c r="G248" i="4"/>
  <c r="G249" i="4"/>
  <c r="H249" i="4"/>
  <c r="G250" i="4"/>
  <c r="G251" i="4"/>
  <c r="G252" i="4"/>
  <c r="G253" i="4"/>
  <c r="G254" i="4"/>
  <c r="G255" i="4"/>
  <c r="I255" i="4"/>
  <c r="J255" i="4"/>
  <c r="G236" i="4"/>
  <c r="I236" i="4"/>
  <c r="J236" i="4"/>
  <c r="H236" i="4"/>
  <c r="I273" i="4"/>
  <c r="J273" i="4"/>
  <c r="N273" i="4"/>
  <c r="I271" i="4"/>
  <c r="I269" i="4"/>
  <c r="J269" i="4"/>
  <c r="I246" i="4"/>
  <c r="I270" i="4"/>
  <c r="J270" i="4"/>
  <c r="I266" i="4"/>
  <c r="I264" i="4"/>
  <c r="V10" i="4"/>
  <c r="U10" i="4"/>
  <c r="G261" i="4"/>
  <c r="T10" i="4"/>
  <c r="S10" i="4"/>
  <c r="H10" i="4"/>
  <c r="I10" i="4"/>
  <c r="J10" i="4"/>
  <c r="G10" i="4"/>
  <c r="D20" i="8"/>
  <c r="D17" i="8"/>
  <c r="D16" i="8"/>
  <c r="E10" i="8"/>
  <c r="D10" i="8"/>
  <c r="E8" i="8"/>
  <c r="D8" i="8"/>
  <c r="D21" i="9"/>
  <c r="D43" i="6"/>
  <c r="D19" i="6"/>
  <c r="D41" i="6"/>
  <c r="D42" i="6"/>
  <c r="H56" i="6"/>
  <c r="H55" i="6"/>
  <c r="G7" i="6"/>
  <c r="G8" i="6"/>
  <c r="G59" i="6"/>
  <c r="D19" i="7"/>
  <c r="D16" i="7"/>
  <c r="D15" i="7"/>
  <c r="D7" i="7"/>
  <c r="E7" i="7"/>
  <c r="D9" i="7"/>
  <c r="E9" i="7"/>
  <c r="E46" i="6"/>
  <c r="E58" i="6"/>
  <c r="E45" i="6"/>
  <c r="E57" i="6"/>
  <c r="E54" i="6"/>
  <c r="F43" i="6"/>
  <c r="F59" i="6"/>
  <c r="H45" i="6"/>
  <c r="H57" i="6"/>
  <c r="H46" i="6"/>
  <c r="H58" i="6"/>
  <c r="H54" i="6"/>
  <c r="J38" i="4"/>
  <c r="H32" i="9"/>
  <c r="H61" i="9"/>
  <c r="E61" i="9"/>
  <c r="H60" i="9"/>
  <c r="H27" i="9"/>
  <c r="H26" i="9"/>
  <c r="E60" i="9"/>
  <c r="E27" i="9"/>
  <c r="E26" i="9"/>
  <c r="H59" i="9"/>
  <c r="E59" i="9"/>
  <c r="E58" i="9"/>
  <c r="H57" i="9"/>
  <c r="E57" i="9"/>
  <c r="H56" i="9"/>
  <c r="E56" i="9"/>
  <c r="E55" i="9"/>
  <c r="G53" i="9"/>
  <c r="I49" i="9"/>
  <c r="I65" i="9"/>
  <c r="I27" i="9"/>
  <c r="H49" i="9"/>
  <c r="G49" i="9"/>
  <c r="G22" i="9"/>
  <c r="F49" i="9"/>
  <c r="F65" i="9"/>
  <c r="F27" i="9"/>
  <c r="E49" i="9"/>
  <c r="I48" i="9"/>
  <c r="I66" i="9"/>
  <c r="I26" i="9"/>
  <c r="H48" i="9"/>
  <c r="G48" i="9"/>
  <c r="G21" i="9"/>
  <c r="F48" i="9"/>
  <c r="F66" i="9"/>
  <c r="F26" i="9"/>
  <c r="E48" i="9"/>
  <c r="I47" i="9"/>
  <c r="I63" i="9"/>
  <c r="G47" i="9"/>
  <c r="G20" i="9"/>
  <c r="F47" i="9"/>
  <c r="F63" i="9"/>
  <c r="E47" i="9"/>
  <c r="I46" i="9"/>
  <c r="I62" i="9"/>
  <c r="G46" i="9"/>
  <c r="G19" i="9"/>
  <c r="F46" i="9"/>
  <c r="F62" i="9"/>
  <c r="E46" i="9"/>
  <c r="G27" i="9"/>
  <c r="D27" i="9"/>
  <c r="D45" i="9"/>
  <c r="D49" i="9"/>
  <c r="D22" i="9"/>
  <c r="G26" i="9"/>
  <c r="D26" i="9"/>
  <c r="D44" i="9"/>
  <c r="G18" i="9"/>
  <c r="G54" i="9"/>
  <c r="D18" i="9"/>
  <c r="D54" i="9"/>
  <c r="G17" i="9"/>
  <c r="G52" i="9"/>
  <c r="D17" i="9"/>
  <c r="H10" i="9"/>
  <c r="A3" i="4"/>
  <c r="H53" i="6"/>
  <c r="H52" i="6"/>
  <c r="G50" i="6"/>
  <c r="I46" i="6"/>
  <c r="I45" i="6"/>
  <c r="G45" i="6"/>
  <c r="G21" i="6"/>
  <c r="I44" i="6"/>
  <c r="I60" i="6"/>
  <c r="G44" i="6"/>
  <c r="G20" i="6"/>
  <c r="I43" i="6"/>
  <c r="G43" i="6"/>
  <c r="G19" i="6"/>
  <c r="G18" i="6"/>
  <c r="G51" i="6"/>
  <c r="G17" i="6"/>
  <c r="G48" i="6"/>
  <c r="G47" i="6"/>
  <c r="G23" i="6"/>
  <c r="G49" i="6"/>
  <c r="H10" i="6"/>
  <c r="E56" i="6"/>
  <c r="E55" i="6"/>
  <c r="E53" i="6"/>
  <c r="E52" i="6"/>
  <c r="E10" i="6"/>
  <c r="D18" i="6"/>
  <c r="D51" i="6"/>
  <c r="D45" i="6"/>
  <c r="D21" i="6"/>
  <c r="D50" i="6"/>
  <c r="D17" i="6"/>
  <c r="D48" i="6"/>
  <c r="I38" i="4"/>
  <c r="F46" i="6"/>
  <c r="D46" i="6"/>
  <c r="D22" i="6"/>
  <c r="F45" i="6"/>
  <c r="F44" i="6"/>
  <c r="D44" i="6"/>
  <c r="D20" i="6"/>
  <c r="C46" i="3"/>
  <c r="C44" i="3"/>
  <c r="E44" i="3"/>
  <c r="I61" i="3"/>
  <c r="I60" i="3"/>
  <c r="F57" i="3"/>
  <c r="H57" i="3"/>
  <c r="F49" i="3"/>
  <c r="H49" i="3"/>
  <c r="F46" i="3"/>
  <c r="H46" i="3"/>
  <c r="F47" i="3"/>
  <c r="F48" i="3"/>
  <c r="H48" i="3"/>
  <c r="F58" i="3"/>
  <c r="H58" i="3"/>
  <c r="F59" i="3"/>
  <c r="H59" i="3"/>
  <c r="C59" i="3"/>
  <c r="E59" i="3"/>
  <c r="C58" i="3"/>
  <c r="E58" i="3"/>
  <c r="C57" i="3"/>
  <c r="C49" i="3"/>
  <c r="E49" i="3"/>
  <c r="C48" i="3"/>
  <c r="E48" i="3"/>
  <c r="C47" i="3"/>
  <c r="C60" i="3"/>
  <c r="I32" i="4"/>
  <c r="E47" i="3"/>
  <c r="F304" i="4"/>
  <c r="J304" i="4"/>
  <c r="D304" i="4"/>
  <c r="H304" i="4"/>
  <c r="E304" i="4"/>
  <c r="I304" i="4"/>
  <c r="C304" i="4"/>
  <c r="G304" i="4"/>
  <c r="F280" i="4"/>
  <c r="J280" i="4"/>
  <c r="E280" i="4"/>
  <c r="I280" i="4"/>
  <c r="D280" i="4"/>
  <c r="H280" i="4"/>
  <c r="C280" i="4"/>
  <c r="G280" i="4"/>
  <c r="F256" i="4"/>
  <c r="J256" i="4"/>
  <c r="D256" i="4"/>
  <c r="H256" i="4"/>
  <c r="E256" i="4"/>
  <c r="C256" i="4"/>
  <c r="D232" i="4"/>
  <c r="H232" i="4"/>
  <c r="C232" i="4"/>
  <c r="G232" i="4"/>
  <c r="O231" i="4"/>
  <c r="O230" i="4"/>
  <c r="O229" i="4"/>
  <c r="O228" i="4"/>
  <c r="O227" i="4"/>
  <c r="O226" i="4"/>
  <c r="O225" i="4"/>
  <c r="O224" i="4"/>
  <c r="O223" i="4"/>
  <c r="O222" i="4"/>
  <c r="O221" i="4"/>
  <c r="O220" i="4"/>
  <c r="O219" i="4"/>
  <c r="O218" i="4"/>
  <c r="O217" i="4"/>
  <c r="O216" i="4"/>
  <c r="O215" i="4"/>
  <c r="O214" i="4"/>
  <c r="O213" i="4"/>
  <c r="O232" i="4"/>
  <c r="O212" i="4"/>
  <c r="D208" i="4"/>
  <c r="H208" i="4"/>
  <c r="O207" i="4"/>
  <c r="O206" i="4"/>
  <c r="O205" i="4"/>
  <c r="O204" i="4"/>
  <c r="O203" i="4"/>
  <c r="O202" i="4"/>
  <c r="O201" i="4"/>
  <c r="O200" i="4"/>
  <c r="O199" i="4"/>
  <c r="O198" i="4"/>
  <c r="O197" i="4"/>
  <c r="O196" i="4"/>
  <c r="O195" i="4"/>
  <c r="O194" i="4"/>
  <c r="O193" i="4"/>
  <c r="O192" i="4"/>
  <c r="O191" i="4"/>
  <c r="O190" i="4"/>
  <c r="O189" i="4"/>
  <c r="C208" i="4"/>
  <c r="G208" i="4"/>
  <c r="O188" i="4"/>
  <c r="O208" i="4"/>
  <c r="D184" i="4"/>
  <c r="C184" i="4"/>
  <c r="O183" i="4"/>
  <c r="O182" i="4"/>
  <c r="O181" i="4"/>
  <c r="O180" i="4"/>
  <c r="O179" i="4"/>
  <c r="O178" i="4"/>
  <c r="O177" i="4"/>
  <c r="O176" i="4"/>
  <c r="O175" i="4"/>
  <c r="O174" i="4"/>
  <c r="O173" i="4"/>
  <c r="O172" i="4"/>
  <c r="O171" i="4"/>
  <c r="O170" i="4"/>
  <c r="O169" i="4"/>
  <c r="O168" i="4"/>
  <c r="O167" i="4"/>
  <c r="O166" i="4"/>
  <c r="O165" i="4"/>
  <c r="O164" i="4"/>
  <c r="O184" i="4"/>
  <c r="D160" i="4"/>
  <c r="H160" i="4"/>
  <c r="O159" i="4"/>
  <c r="O158" i="4"/>
  <c r="O157" i="4"/>
  <c r="O156" i="4"/>
  <c r="O155" i="4"/>
  <c r="O154" i="4"/>
  <c r="O153" i="4"/>
  <c r="O152" i="4"/>
  <c r="O151" i="4"/>
  <c r="O150" i="4"/>
  <c r="O149" i="4"/>
  <c r="O148" i="4"/>
  <c r="O147" i="4"/>
  <c r="O146" i="4"/>
  <c r="O145" i="4"/>
  <c r="O144" i="4"/>
  <c r="O143" i="4"/>
  <c r="O142" i="4"/>
  <c r="C160" i="4"/>
  <c r="O140" i="4"/>
  <c r="D136" i="4"/>
  <c r="H136" i="4"/>
  <c r="O135" i="4"/>
  <c r="O134" i="4"/>
  <c r="O133" i="4"/>
  <c r="O132" i="4"/>
  <c r="O131" i="4"/>
  <c r="O130" i="4"/>
  <c r="O129" i="4"/>
  <c r="O128" i="4"/>
  <c r="O127" i="4"/>
  <c r="C136" i="4"/>
  <c r="G136" i="4"/>
  <c r="O125" i="4"/>
  <c r="O124" i="4"/>
  <c r="O123" i="4"/>
  <c r="O122" i="4"/>
  <c r="O121" i="4"/>
  <c r="O120" i="4"/>
  <c r="O119" i="4"/>
  <c r="O118" i="4"/>
  <c r="O117" i="4"/>
  <c r="O136" i="4"/>
  <c r="O116" i="4"/>
  <c r="D112" i="4"/>
  <c r="H112" i="4"/>
  <c r="O111" i="4"/>
  <c r="O110" i="4"/>
  <c r="O109" i="4"/>
  <c r="O108" i="4"/>
  <c r="O107" i="4"/>
  <c r="C112" i="4"/>
  <c r="G112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112" i="4"/>
  <c r="D88" i="4"/>
  <c r="H88" i="4"/>
  <c r="C88" i="4"/>
  <c r="G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88" i="4"/>
  <c r="D66" i="4"/>
  <c r="H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C66" i="4"/>
  <c r="O46" i="4"/>
  <c r="O66" i="4"/>
  <c r="B7" i="3"/>
  <c r="O47" i="4"/>
  <c r="O106" i="4"/>
  <c r="O126" i="4"/>
  <c r="O141" i="4"/>
  <c r="O160" i="4"/>
  <c r="J278" i="4"/>
  <c r="J279" i="4"/>
  <c r="E57" i="3"/>
  <c r="F7" i="3"/>
  <c r="H7" i="3"/>
  <c r="H277" i="4"/>
  <c r="H43" i="6"/>
  <c r="E32" i="9"/>
  <c r="D49" i="6"/>
  <c r="G32" i="9"/>
  <c r="F64" i="9"/>
  <c r="H52" i="4"/>
  <c r="H61" i="4"/>
  <c r="H255" i="4"/>
  <c r="D59" i="6"/>
  <c r="H86" i="4"/>
  <c r="H49" i="4"/>
  <c r="I64" i="9"/>
  <c r="H57" i="4"/>
  <c r="H62" i="4"/>
  <c r="I59" i="6"/>
  <c r="F60" i="6"/>
  <c r="H60" i="4"/>
  <c r="H53" i="4"/>
  <c r="H50" i="4"/>
  <c r="H156" i="4"/>
  <c r="H159" i="4"/>
  <c r="H182" i="4"/>
  <c r="H183" i="4"/>
  <c r="I249" i="4"/>
  <c r="J249" i="4"/>
  <c r="B8" i="3"/>
  <c r="B9" i="3"/>
  <c r="E7" i="3"/>
  <c r="E30" i="6"/>
  <c r="H30" i="6"/>
  <c r="J266" i="4"/>
  <c r="I253" i="4"/>
  <c r="J253" i="4"/>
  <c r="H253" i="4"/>
  <c r="I254" i="4"/>
  <c r="J254" i="4"/>
  <c r="H254" i="4"/>
  <c r="H241" i="4"/>
  <c r="I241" i="4"/>
  <c r="J241" i="4"/>
  <c r="I239" i="4"/>
  <c r="J239" i="4"/>
  <c r="H243" i="4"/>
  <c r="F8" i="3"/>
  <c r="H8" i="3"/>
  <c r="G51" i="9"/>
  <c r="B60" i="3"/>
  <c r="I37" i="4"/>
  <c r="C61" i="3"/>
  <c r="E46" i="3"/>
  <c r="H47" i="3"/>
  <c r="G66" i="9"/>
  <c r="G62" i="9"/>
  <c r="I24" i="6"/>
  <c r="I39" i="4"/>
  <c r="L73" i="4"/>
  <c r="D32" i="9"/>
  <c r="H83" i="4"/>
  <c r="L83" i="4"/>
  <c r="G24" i="6"/>
  <c r="I67" i="9"/>
  <c r="L72" i="4"/>
  <c r="K76" i="4"/>
  <c r="L57" i="4"/>
  <c r="L52" i="4"/>
  <c r="K50" i="4"/>
  <c r="K83" i="4"/>
  <c r="L74" i="4"/>
  <c r="M236" i="4"/>
  <c r="K236" i="4"/>
  <c r="K266" i="4"/>
  <c r="M279" i="4"/>
  <c r="M254" i="4"/>
  <c r="K58" i="4"/>
  <c r="K277" i="4"/>
  <c r="M237" i="4"/>
  <c r="K267" i="4"/>
  <c r="M266" i="4"/>
  <c r="K239" i="4"/>
  <c r="N279" i="4"/>
  <c r="L249" i="4"/>
  <c r="K79" i="4"/>
  <c r="K246" i="4"/>
  <c r="M270" i="4"/>
  <c r="K54" i="4"/>
  <c r="L254" i="4"/>
  <c r="K241" i="4"/>
  <c r="L238" i="4"/>
  <c r="L270" i="4"/>
  <c r="K249" i="4"/>
  <c r="K272" i="4"/>
  <c r="K237" i="4"/>
  <c r="K263" i="4"/>
  <c r="K238" i="4"/>
  <c r="K85" i="4"/>
  <c r="K244" i="4"/>
  <c r="K240" i="4"/>
  <c r="M278" i="4"/>
  <c r="L278" i="4"/>
  <c r="C6" i="8"/>
  <c r="E6" i="8"/>
  <c r="K62" i="4"/>
  <c r="L241" i="4"/>
  <c r="K243" i="4"/>
  <c r="L255" i="4"/>
  <c r="M277" i="4"/>
  <c r="L274" i="4"/>
  <c r="M269" i="4"/>
  <c r="K276" i="4"/>
  <c r="M255" i="4"/>
  <c r="K264" i="4"/>
  <c r="K265" i="4"/>
  <c r="K250" i="4"/>
  <c r="K270" i="4"/>
  <c r="K255" i="4"/>
  <c r="L266" i="4"/>
  <c r="K72" i="4"/>
  <c r="K49" i="4"/>
  <c r="K73" i="4"/>
  <c r="K74" i="4"/>
  <c r="K269" i="4"/>
  <c r="K261" i="4"/>
  <c r="K254" i="4"/>
  <c r="C5" i="7"/>
  <c r="E5" i="7"/>
  <c r="D5" i="7"/>
  <c r="L269" i="4"/>
  <c r="K64" i="4"/>
  <c r="K46" i="4"/>
  <c r="K77" i="4"/>
  <c r="K60" i="4"/>
  <c r="J264" i="4"/>
  <c r="N264" i="4"/>
  <c r="M241" i="4"/>
  <c r="L85" i="4"/>
  <c r="L79" i="4"/>
  <c r="L61" i="4"/>
  <c r="G286" i="4"/>
  <c r="I294" i="4"/>
  <c r="J294" i="4"/>
  <c r="N294" i="4"/>
  <c r="G296" i="4"/>
  <c r="H296" i="4"/>
  <c r="L296" i="4"/>
  <c r="G303" i="4"/>
  <c r="I303" i="4"/>
  <c r="G301" i="4"/>
  <c r="K301" i="4"/>
  <c r="G298" i="4"/>
  <c r="G294" i="4"/>
  <c r="H294" i="4"/>
  <c r="L294" i="4"/>
  <c r="I298" i="4"/>
  <c r="M264" i="4"/>
  <c r="L277" i="4"/>
  <c r="L53" i="4"/>
  <c r="L58" i="4"/>
  <c r="N236" i="4"/>
  <c r="L267" i="4"/>
  <c r="L65" i="4"/>
  <c r="H184" i="4"/>
  <c r="D47" i="6"/>
  <c r="D23" i="6"/>
  <c r="M273" i="4"/>
  <c r="I274" i="4"/>
  <c r="M274" i="4"/>
  <c r="I238" i="4"/>
  <c r="I244" i="4"/>
  <c r="J244" i="4"/>
  <c r="N244" i="4"/>
  <c r="I267" i="4"/>
  <c r="J267" i="4"/>
  <c r="N267" i="4"/>
  <c r="I275" i="4"/>
  <c r="L273" i="4"/>
  <c r="H263" i="4"/>
  <c r="L263" i="4"/>
  <c r="I263" i="4"/>
  <c r="M263" i="4"/>
  <c r="L81" i="4"/>
  <c r="H44" i="6"/>
  <c r="K294" i="4"/>
  <c r="H298" i="4"/>
  <c r="L298" i="4"/>
  <c r="K298" i="4"/>
  <c r="M294" i="4"/>
  <c r="J303" i="4"/>
  <c r="N303" i="4"/>
  <c r="M303" i="4"/>
  <c r="J274" i="4"/>
  <c r="N274" i="4"/>
  <c r="J275" i="4"/>
  <c r="N275" i="4"/>
  <c r="M275" i="4"/>
  <c r="J238" i="4"/>
  <c r="N238" i="4"/>
  <c r="M238" i="4"/>
  <c r="H65" i="9"/>
  <c r="M244" i="4"/>
  <c r="M253" i="4"/>
  <c r="M239" i="4"/>
  <c r="D9" i="8"/>
  <c r="M298" i="4"/>
  <c r="J298" i="4"/>
  <c r="N298" i="4"/>
  <c r="G71" i="4"/>
  <c r="J271" i="4"/>
  <c r="N271" i="4"/>
  <c r="M271" i="4"/>
  <c r="I252" i="4"/>
  <c r="K252" i="4"/>
  <c r="H252" i="4"/>
  <c r="L252" i="4"/>
  <c r="H248" i="4"/>
  <c r="L248" i="4"/>
  <c r="I248" i="4"/>
  <c r="K248" i="4"/>
  <c r="I245" i="4"/>
  <c r="K245" i="4"/>
  <c r="H242" i="4"/>
  <c r="L242" i="4"/>
  <c r="K242" i="4"/>
  <c r="I242" i="4"/>
  <c r="H271" i="4"/>
  <c r="L271" i="4"/>
  <c r="K271" i="4"/>
  <c r="K262" i="4"/>
  <c r="H262" i="4"/>
  <c r="L262" i="4"/>
  <c r="H63" i="4"/>
  <c r="L63" i="4"/>
  <c r="K63" i="4"/>
  <c r="H51" i="4"/>
  <c r="L51" i="4"/>
  <c r="K51" i="4"/>
  <c r="H47" i="4"/>
  <c r="L47" i="4"/>
  <c r="K47" i="4"/>
  <c r="H78" i="4"/>
  <c r="L78" i="4"/>
  <c r="K78" i="4"/>
  <c r="D8" i="7"/>
  <c r="E8" i="7"/>
  <c r="M249" i="4"/>
  <c r="K87" i="4"/>
  <c r="G160" i="4"/>
  <c r="H24" i="6"/>
  <c r="G108" i="4"/>
  <c r="G97" i="4"/>
  <c r="G98" i="4"/>
  <c r="G111" i="4"/>
  <c r="G109" i="4"/>
  <c r="G105" i="4"/>
  <c r="G102" i="4"/>
  <c r="G94" i="4"/>
  <c r="G104" i="4"/>
  <c r="G100" i="4"/>
  <c r="G103" i="4"/>
  <c r="G92" i="4"/>
  <c r="G106" i="4"/>
  <c r="J39" i="4"/>
  <c r="L159" i="4"/>
  <c r="B61" i="3"/>
  <c r="J37" i="4"/>
  <c r="E61" i="3"/>
  <c r="H61" i="3"/>
  <c r="J33" i="4"/>
  <c r="D52" i="9"/>
  <c r="D51" i="9"/>
  <c r="G165" i="4"/>
  <c r="H251" i="4"/>
  <c r="L251" i="4"/>
  <c r="K251" i="4"/>
  <c r="I251" i="4"/>
  <c r="H247" i="4"/>
  <c r="L247" i="4"/>
  <c r="I247" i="4"/>
  <c r="J265" i="4"/>
  <c r="N265" i="4"/>
  <c r="M265" i="4"/>
  <c r="L158" i="4"/>
  <c r="L164" i="4"/>
  <c r="M267" i="4"/>
  <c r="K296" i="4"/>
  <c r="H301" i="4"/>
  <c r="L301" i="4"/>
  <c r="I262" i="4"/>
  <c r="G93" i="4"/>
  <c r="K247" i="4"/>
  <c r="F61" i="3"/>
  <c r="J32" i="4"/>
  <c r="G46" i="6"/>
  <c r="G22" i="6"/>
  <c r="G29" i="6"/>
  <c r="G50" i="9"/>
  <c r="G23" i="9"/>
  <c r="G95" i="4"/>
  <c r="G101" i="4"/>
  <c r="G96" i="4"/>
  <c r="K268" i="4"/>
  <c r="D24" i="6"/>
  <c r="D39" i="6"/>
  <c r="H245" i="4"/>
  <c r="L245" i="4"/>
  <c r="G66" i="4"/>
  <c r="C6" i="7"/>
  <c r="E60" i="3"/>
  <c r="I33" i="4"/>
  <c r="E25" i="6"/>
  <c r="E40" i="6"/>
  <c r="E44" i="6"/>
  <c r="D53" i="9"/>
  <c r="D50" i="9"/>
  <c r="D23" i="9"/>
  <c r="I268" i="4"/>
  <c r="J243" i="4"/>
  <c r="N243" i="4"/>
  <c r="M243" i="4"/>
  <c r="H275" i="4"/>
  <c r="L275" i="4"/>
  <c r="K275" i="4"/>
  <c r="H272" i="4"/>
  <c r="L272" i="4"/>
  <c r="I272" i="4"/>
  <c r="H48" i="4"/>
  <c r="L48" i="4"/>
  <c r="K48" i="4"/>
  <c r="H70" i="4"/>
  <c r="L70" i="4"/>
  <c r="K70" i="4"/>
  <c r="H84" i="4"/>
  <c r="L84" i="4"/>
  <c r="H157" i="4"/>
  <c r="L157" i="4"/>
  <c r="K157" i="4"/>
  <c r="L148" i="4"/>
  <c r="L146" i="4"/>
  <c r="L142" i="4"/>
  <c r="H181" i="4"/>
  <c r="L181" i="4"/>
  <c r="L178" i="4"/>
  <c r="L176" i="4"/>
  <c r="G300" i="4"/>
  <c r="G291" i="4"/>
  <c r="I289" i="4"/>
  <c r="G293" i="4"/>
  <c r="F28" i="6"/>
  <c r="G295" i="4"/>
  <c r="I301" i="4"/>
  <c r="I293" i="4"/>
  <c r="I296" i="4"/>
  <c r="I299" i="4"/>
  <c r="I284" i="4"/>
  <c r="G256" i="4"/>
  <c r="J246" i="4"/>
  <c r="N246" i="4"/>
  <c r="M246" i="4"/>
  <c r="H250" i="4"/>
  <c r="L250" i="4"/>
  <c r="I250" i="4"/>
  <c r="J276" i="4"/>
  <c r="N276" i="4"/>
  <c r="M276" i="4"/>
  <c r="H80" i="4"/>
  <c r="L80" i="4"/>
  <c r="K80" i="4"/>
  <c r="L153" i="4"/>
  <c r="L149" i="4"/>
  <c r="L175" i="4"/>
  <c r="L167" i="4"/>
  <c r="I302" i="4"/>
  <c r="I300" i="4"/>
  <c r="G285" i="4"/>
  <c r="G290" i="4"/>
  <c r="G284" i="4"/>
  <c r="G292" i="4"/>
  <c r="I287" i="4"/>
  <c r="E33" i="9"/>
  <c r="K65" i="4"/>
  <c r="K57" i="4"/>
  <c r="K274" i="4"/>
  <c r="K55" i="4"/>
  <c r="L279" i="4"/>
  <c r="K75" i="4"/>
  <c r="K253" i="4"/>
  <c r="K59" i="4"/>
  <c r="K81" i="4"/>
  <c r="D33" i="9"/>
  <c r="K56" i="4"/>
  <c r="K278" i="4"/>
  <c r="K52" i="4"/>
  <c r="K279" i="4"/>
  <c r="L62" i="4"/>
  <c r="N241" i="4"/>
  <c r="L183" i="4"/>
  <c r="L50" i="4"/>
  <c r="F60" i="3"/>
  <c r="G30" i="6"/>
  <c r="D30" i="6"/>
  <c r="L276" i="4"/>
  <c r="K273" i="4"/>
  <c r="L64" i="4"/>
  <c r="K61" i="4"/>
  <c r="K53" i="4"/>
  <c r="H82" i="4"/>
  <c r="L82" i="4"/>
  <c r="K82" i="4"/>
  <c r="H260" i="4"/>
  <c r="L260" i="4"/>
  <c r="I260" i="4"/>
  <c r="K260" i="4"/>
  <c r="K159" i="4"/>
  <c r="K148" i="4"/>
  <c r="H292" i="4"/>
  <c r="L292" i="4"/>
  <c r="K292" i="4"/>
  <c r="M300" i="4"/>
  <c r="J300" i="4"/>
  <c r="N300" i="4"/>
  <c r="M284" i="4"/>
  <c r="J284" i="4"/>
  <c r="N284" i="4"/>
  <c r="J301" i="4"/>
  <c r="N301" i="4"/>
  <c r="M301" i="4"/>
  <c r="M289" i="4"/>
  <c r="J289" i="4"/>
  <c r="N289" i="4"/>
  <c r="G135" i="4"/>
  <c r="G125" i="4"/>
  <c r="G116" i="4"/>
  <c r="G123" i="4"/>
  <c r="G121" i="4"/>
  <c r="G128" i="4"/>
  <c r="G25" i="6"/>
  <c r="G117" i="4"/>
  <c r="G133" i="4"/>
  <c r="I25" i="6"/>
  <c r="G126" i="4"/>
  <c r="F25" i="6"/>
  <c r="F40" i="6"/>
  <c r="G118" i="4"/>
  <c r="G120" i="4"/>
  <c r="G129" i="4"/>
  <c r="G130" i="4"/>
  <c r="G124" i="4"/>
  <c r="G132" i="4"/>
  <c r="G127" i="4"/>
  <c r="G122" i="4"/>
  <c r="D25" i="6"/>
  <c r="D40" i="6"/>
  <c r="G131" i="4"/>
  <c r="G134" i="4"/>
  <c r="G119" i="4"/>
  <c r="H25" i="6"/>
  <c r="K101" i="4"/>
  <c r="H101" i="4"/>
  <c r="L101" i="4"/>
  <c r="H92" i="4"/>
  <c r="L92" i="4"/>
  <c r="K92" i="4"/>
  <c r="K94" i="4"/>
  <c r="H94" i="4"/>
  <c r="L94" i="4"/>
  <c r="K111" i="4"/>
  <c r="H111" i="4"/>
  <c r="L111" i="4"/>
  <c r="M248" i="4"/>
  <c r="J248" i="4"/>
  <c r="N248" i="4"/>
  <c r="J252" i="4"/>
  <c r="N252" i="4"/>
  <c r="M252" i="4"/>
  <c r="K280" i="4"/>
  <c r="K284" i="4"/>
  <c r="H284" i="4"/>
  <c r="L284" i="4"/>
  <c r="J302" i="4"/>
  <c r="N302" i="4"/>
  <c r="M302" i="4"/>
  <c r="J299" i="4"/>
  <c r="N299" i="4"/>
  <c r="M299" i="4"/>
  <c r="K295" i="4"/>
  <c r="H295" i="4"/>
  <c r="L295" i="4"/>
  <c r="H291" i="4"/>
  <c r="L291" i="4"/>
  <c r="K291" i="4"/>
  <c r="J268" i="4"/>
  <c r="N268" i="4"/>
  <c r="M268" i="4"/>
  <c r="D6" i="7"/>
  <c r="C17" i="7"/>
  <c r="D17" i="7"/>
  <c r="E6" i="7"/>
  <c r="H95" i="4"/>
  <c r="L95" i="4"/>
  <c r="K95" i="4"/>
  <c r="K93" i="4"/>
  <c r="H93" i="4"/>
  <c r="L93" i="4"/>
  <c r="J247" i="4"/>
  <c r="N247" i="4"/>
  <c r="M247" i="4"/>
  <c r="I28" i="9"/>
  <c r="F28" i="9"/>
  <c r="K103" i="4"/>
  <c r="H103" i="4"/>
  <c r="L103" i="4"/>
  <c r="K102" i="4"/>
  <c r="H102" i="4"/>
  <c r="L102" i="4"/>
  <c r="H98" i="4"/>
  <c r="L98" i="4"/>
  <c r="K98" i="4"/>
  <c r="J260" i="4"/>
  <c r="N260" i="4"/>
  <c r="M260" i="4"/>
  <c r="I256" i="4"/>
  <c r="H290" i="4"/>
  <c r="L290" i="4"/>
  <c r="K290" i="4"/>
  <c r="J296" i="4"/>
  <c r="N296" i="4"/>
  <c r="M296" i="4"/>
  <c r="H300" i="4"/>
  <c r="L300" i="4"/>
  <c r="K300" i="4"/>
  <c r="J262" i="4"/>
  <c r="N262" i="4"/>
  <c r="M262" i="4"/>
  <c r="K165" i="4"/>
  <c r="H165" i="4"/>
  <c r="L165" i="4"/>
  <c r="K140" i="4"/>
  <c r="K147" i="4"/>
  <c r="K169" i="4"/>
  <c r="C5" i="8"/>
  <c r="K152" i="4"/>
  <c r="K155" i="4"/>
  <c r="K182" i="4"/>
  <c r="K168" i="4"/>
  <c r="K142" i="4"/>
  <c r="K145" i="4"/>
  <c r="K141" i="4"/>
  <c r="K173" i="4"/>
  <c r="K179" i="4"/>
  <c r="K178" i="4"/>
  <c r="K183" i="4"/>
  <c r="K167" i="4"/>
  <c r="K171" i="4"/>
  <c r="H33" i="9"/>
  <c r="K175" i="4"/>
  <c r="L140" i="4"/>
  <c r="K151" i="4"/>
  <c r="L179" i="4"/>
  <c r="K172" i="4"/>
  <c r="K158" i="4"/>
  <c r="K143" i="4"/>
  <c r="K146" i="4"/>
  <c r="K149" i="4"/>
  <c r="I29" i="9"/>
  <c r="L180" i="4"/>
  <c r="K164" i="4"/>
  <c r="L143" i="4"/>
  <c r="K166" i="4"/>
  <c r="K177" i="4"/>
  <c r="K180" i="4"/>
  <c r="L168" i="4"/>
  <c r="L144" i="4"/>
  <c r="K156" i="4"/>
  <c r="K176" i="4"/>
  <c r="L174" i="4"/>
  <c r="L150" i="4"/>
  <c r="L147" i="4"/>
  <c r="L156" i="4"/>
  <c r="L145" i="4"/>
  <c r="L141" i="4"/>
  <c r="K170" i="4"/>
  <c r="L166" i="4"/>
  <c r="L169" i="4"/>
  <c r="L151" i="4"/>
  <c r="L155" i="4"/>
  <c r="L173" i="4"/>
  <c r="L152" i="4"/>
  <c r="L170" i="4"/>
  <c r="K153" i="4"/>
  <c r="K144" i="4"/>
  <c r="L177" i="4"/>
  <c r="K154" i="4"/>
  <c r="F29" i="9"/>
  <c r="G33" i="9"/>
  <c r="K174" i="4"/>
  <c r="K100" i="4"/>
  <c r="H100" i="4"/>
  <c r="L100" i="4"/>
  <c r="K105" i="4"/>
  <c r="H105" i="4"/>
  <c r="L105" i="4"/>
  <c r="K97" i="4"/>
  <c r="H97" i="4"/>
  <c r="L97" i="4"/>
  <c r="J242" i="4"/>
  <c r="N242" i="4"/>
  <c r="M242" i="4"/>
  <c r="J245" i="4"/>
  <c r="N245" i="4"/>
  <c r="M245" i="4"/>
  <c r="K150" i="4"/>
  <c r="M287" i="4"/>
  <c r="J287" i="4"/>
  <c r="N287" i="4"/>
  <c r="K285" i="4"/>
  <c r="H285" i="4"/>
  <c r="L285" i="4"/>
  <c r="L171" i="4"/>
  <c r="J250" i="4"/>
  <c r="N250" i="4"/>
  <c r="M250" i="4"/>
  <c r="M293" i="4"/>
  <c r="J293" i="4"/>
  <c r="N293" i="4"/>
  <c r="H293" i="4"/>
  <c r="L293" i="4"/>
  <c r="K293" i="4"/>
  <c r="L172" i="4"/>
  <c r="K181" i="4"/>
  <c r="L154" i="4"/>
  <c r="M272" i="4"/>
  <c r="J272" i="4"/>
  <c r="N272" i="4"/>
  <c r="L182" i="4"/>
  <c r="K96" i="4"/>
  <c r="H96" i="4"/>
  <c r="L96" i="4"/>
  <c r="J251" i="4"/>
  <c r="N251" i="4"/>
  <c r="M251" i="4"/>
  <c r="D47" i="9"/>
  <c r="D20" i="9"/>
  <c r="K106" i="4"/>
  <c r="H106" i="4"/>
  <c r="L106" i="4"/>
  <c r="K104" i="4"/>
  <c r="H104" i="4"/>
  <c r="L104" i="4"/>
  <c r="H109" i="4"/>
  <c r="L109" i="4"/>
  <c r="K109" i="4"/>
  <c r="K108" i="4"/>
  <c r="H108" i="4"/>
  <c r="L108" i="4"/>
  <c r="H71" i="4"/>
  <c r="L71" i="4"/>
  <c r="K71" i="4"/>
  <c r="H64" i="9"/>
  <c r="D46" i="9"/>
  <c r="D19" i="9"/>
  <c r="K134" i="4"/>
  <c r="H134" i="4"/>
  <c r="L134" i="4"/>
  <c r="K127" i="4"/>
  <c r="H127" i="4"/>
  <c r="L127" i="4"/>
  <c r="K130" i="4"/>
  <c r="H130" i="4"/>
  <c r="L130" i="4"/>
  <c r="K117" i="4"/>
  <c r="H117" i="4"/>
  <c r="L117" i="4"/>
  <c r="H123" i="4"/>
  <c r="L123" i="4"/>
  <c r="K123" i="4"/>
  <c r="E5" i="8"/>
  <c r="D5" i="8"/>
  <c r="K131" i="4"/>
  <c r="H131" i="4"/>
  <c r="L131" i="4"/>
  <c r="K132" i="4"/>
  <c r="H132" i="4"/>
  <c r="L132" i="4"/>
  <c r="K129" i="4"/>
  <c r="H129" i="4"/>
  <c r="L129" i="4"/>
  <c r="H126" i="4"/>
  <c r="L126" i="4"/>
  <c r="K126" i="4"/>
  <c r="K116" i="4"/>
  <c r="H116" i="4"/>
  <c r="L116" i="4"/>
  <c r="K124" i="4"/>
  <c r="H124" i="4"/>
  <c r="L124" i="4"/>
  <c r="K120" i="4"/>
  <c r="H120" i="4"/>
  <c r="L120" i="4"/>
  <c r="H128" i="4"/>
  <c r="L128" i="4"/>
  <c r="K128" i="4"/>
  <c r="K125" i="4"/>
  <c r="H125" i="4"/>
  <c r="L125" i="4"/>
  <c r="H66" i="9"/>
  <c r="H67" i="9"/>
  <c r="H119" i="4"/>
  <c r="L119" i="4"/>
  <c r="K119" i="4"/>
  <c r="H122" i="4"/>
  <c r="L122" i="4"/>
  <c r="K122" i="4"/>
  <c r="K118" i="4"/>
  <c r="H118" i="4"/>
  <c r="L118" i="4"/>
  <c r="K133" i="4"/>
  <c r="H133" i="4"/>
  <c r="L133" i="4"/>
  <c r="K121" i="4"/>
  <c r="H121" i="4"/>
  <c r="L121" i="4"/>
  <c r="K135" i="4"/>
  <c r="H135" i="4"/>
  <c r="L135" i="4"/>
  <c r="K136" i="4"/>
  <c r="C7" i="8"/>
  <c r="C18" i="8"/>
  <c r="D18" i="8"/>
  <c r="D66" i="9"/>
  <c r="F67" i="9"/>
  <c r="D31" i="9"/>
  <c r="L160" i="4"/>
  <c r="K256" i="4"/>
  <c r="L184" i="4"/>
  <c r="K160" i="4"/>
  <c r="K66" i="4"/>
  <c r="L243" i="4"/>
  <c r="N239" i="4"/>
  <c r="N254" i="4"/>
  <c r="L253" i="4"/>
  <c r="N253" i="4"/>
  <c r="N266" i="4"/>
  <c r="N249" i="4"/>
  <c r="L60" i="4"/>
  <c r="L49" i="4"/>
  <c r="L86" i="4"/>
  <c r="N278" i="4"/>
  <c r="N270" i="4"/>
  <c r="N269" i="4"/>
  <c r="L236" i="4"/>
  <c r="N255" i="4"/>
  <c r="L246" i="4"/>
  <c r="L244" i="4"/>
  <c r="L239" i="4"/>
  <c r="N237" i="4"/>
  <c r="N277" i="4"/>
  <c r="L268" i="4"/>
  <c r="L265" i="4"/>
  <c r="L46" i="4"/>
  <c r="L59" i="4"/>
  <c r="L56" i="4"/>
  <c r="L54" i="4"/>
  <c r="L87" i="4"/>
  <c r="K86" i="4"/>
  <c r="K84" i="4"/>
  <c r="K88" i="4"/>
  <c r="L77" i="4"/>
  <c r="L76" i="4"/>
  <c r="L75" i="4"/>
  <c r="L88" i="4"/>
  <c r="L66" i="4"/>
  <c r="H60" i="6"/>
  <c r="K184" i="4"/>
  <c r="D7" i="8"/>
  <c r="E7" i="8"/>
  <c r="L136" i="4"/>
  <c r="G30" i="9"/>
  <c r="G31" i="9"/>
  <c r="G189" i="4"/>
  <c r="G201" i="4"/>
  <c r="G190" i="4"/>
  <c r="G196" i="4"/>
  <c r="G24" i="9"/>
  <c r="G200" i="4"/>
  <c r="G195" i="4"/>
  <c r="G202" i="4"/>
  <c r="G191" i="4"/>
  <c r="G199" i="4"/>
  <c r="G203" i="4"/>
  <c r="E24" i="9"/>
  <c r="G207" i="4"/>
  <c r="G206" i="4"/>
  <c r="I24" i="9"/>
  <c r="G205" i="4"/>
  <c r="F24" i="9"/>
  <c r="H24" i="9"/>
  <c r="G197" i="4"/>
  <c r="G188" i="4"/>
  <c r="G192" i="4"/>
  <c r="G204" i="4"/>
  <c r="G193" i="4"/>
  <c r="G194" i="4"/>
  <c r="D24" i="9"/>
  <c r="G198" i="4"/>
  <c r="G230" i="4"/>
  <c r="H25" i="9"/>
  <c r="G223" i="4"/>
  <c r="G217" i="4"/>
  <c r="G229" i="4"/>
  <c r="G218" i="4"/>
  <c r="G228" i="4"/>
  <c r="G215" i="4"/>
  <c r="E25" i="9"/>
  <c r="G25" i="9"/>
  <c r="G224" i="4"/>
  <c r="G212" i="4"/>
  <c r="G214" i="4"/>
  <c r="G221" i="4"/>
  <c r="G231" i="4"/>
  <c r="G226" i="4"/>
  <c r="G219" i="4"/>
  <c r="G220" i="4"/>
  <c r="G225" i="4"/>
  <c r="G213" i="4"/>
  <c r="G222" i="4"/>
  <c r="D25" i="9"/>
  <c r="G227" i="4"/>
  <c r="I25" i="9"/>
  <c r="G216" i="4"/>
  <c r="F25" i="9"/>
  <c r="J263" i="4"/>
  <c r="N263" i="4"/>
  <c r="H303" i="4"/>
  <c r="L303" i="4"/>
  <c r="K303" i="4"/>
  <c r="H286" i="4"/>
  <c r="L286" i="4"/>
  <c r="K286" i="4"/>
  <c r="D6" i="8"/>
  <c r="I286" i="4"/>
  <c r="G289" i="4"/>
  <c r="I295" i="4"/>
  <c r="G297" i="4"/>
  <c r="I288" i="4"/>
  <c r="G302" i="4"/>
  <c r="G299" i="4"/>
  <c r="I290" i="4"/>
  <c r="I28" i="6"/>
  <c r="I291" i="4"/>
  <c r="G287" i="4"/>
  <c r="G288" i="4"/>
  <c r="I292" i="4"/>
  <c r="I285" i="4"/>
  <c r="I297" i="4"/>
  <c r="E9" i="3"/>
  <c r="B10" i="3"/>
  <c r="F9" i="3"/>
  <c r="H9" i="3"/>
  <c r="G184" i="4"/>
  <c r="F24" i="6"/>
  <c r="F39" i="6"/>
  <c r="E24" i="6"/>
  <c r="E39" i="6"/>
  <c r="E43" i="6"/>
  <c r="G110" i="4"/>
  <c r="G99" i="4"/>
  <c r="G107" i="4"/>
  <c r="H60" i="3"/>
  <c r="D29" i="6"/>
  <c r="H59" i="6"/>
  <c r="I261" i="4"/>
  <c r="H261" i="4"/>
  <c r="L261" i="4"/>
  <c r="L280" i="4"/>
  <c r="E8" i="3"/>
  <c r="I240" i="4"/>
  <c r="H237" i="4"/>
  <c r="L237" i="4"/>
  <c r="L256" i="4"/>
  <c r="J261" i="4"/>
  <c r="N261" i="4"/>
  <c r="N280" i="4"/>
  <c r="M261" i="4"/>
  <c r="M280" i="4"/>
  <c r="H107" i="4"/>
  <c r="L107" i="4"/>
  <c r="K107" i="4"/>
  <c r="K110" i="4"/>
  <c r="H110" i="4"/>
  <c r="L110" i="4"/>
  <c r="J285" i="4"/>
  <c r="N285" i="4"/>
  <c r="M285" i="4"/>
  <c r="K288" i="4"/>
  <c r="H288" i="4"/>
  <c r="L288" i="4"/>
  <c r="J291" i="4"/>
  <c r="N291" i="4"/>
  <c r="M291" i="4"/>
  <c r="M290" i="4"/>
  <c r="J290" i="4"/>
  <c r="N290" i="4"/>
  <c r="H302" i="4"/>
  <c r="L302" i="4"/>
  <c r="K302" i="4"/>
  <c r="H297" i="4"/>
  <c r="L297" i="4"/>
  <c r="K297" i="4"/>
  <c r="H289" i="4"/>
  <c r="L289" i="4"/>
  <c r="K289" i="4"/>
  <c r="H213" i="4"/>
  <c r="L213" i="4"/>
  <c r="K213" i="4"/>
  <c r="H220" i="4"/>
  <c r="L220" i="4"/>
  <c r="K220" i="4"/>
  <c r="H226" i="4"/>
  <c r="L226" i="4"/>
  <c r="K226" i="4"/>
  <c r="H221" i="4"/>
  <c r="L221" i="4"/>
  <c r="K221" i="4"/>
  <c r="H212" i="4"/>
  <c r="L212" i="4"/>
  <c r="K212" i="4"/>
  <c r="K215" i="4"/>
  <c r="H215" i="4"/>
  <c r="L215" i="4"/>
  <c r="H218" i="4"/>
  <c r="L218" i="4"/>
  <c r="K218" i="4"/>
  <c r="K217" i="4"/>
  <c r="H217" i="4"/>
  <c r="L217" i="4"/>
  <c r="J60" i="9"/>
  <c r="H63" i="9"/>
  <c r="H198" i="4"/>
  <c r="L198" i="4"/>
  <c r="K198" i="4"/>
  <c r="K194" i="4"/>
  <c r="H194" i="4"/>
  <c r="L194" i="4"/>
  <c r="H204" i="4"/>
  <c r="L204" i="4"/>
  <c r="K204" i="4"/>
  <c r="K188" i="4"/>
  <c r="H188" i="4"/>
  <c r="L188" i="4"/>
  <c r="H62" i="9"/>
  <c r="H205" i="4"/>
  <c r="L205" i="4"/>
  <c r="K205" i="4"/>
  <c r="K206" i="4"/>
  <c r="H206" i="4"/>
  <c r="L206" i="4"/>
  <c r="H199" i="4"/>
  <c r="L199" i="4"/>
  <c r="K199" i="4"/>
  <c r="H202" i="4"/>
  <c r="L202" i="4"/>
  <c r="K202" i="4"/>
  <c r="K200" i="4"/>
  <c r="H200" i="4"/>
  <c r="L200" i="4"/>
  <c r="H196" i="4"/>
  <c r="L196" i="4"/>
  <c r="K196" i="4"/>
  <c r="H201" i="4"/>
  <c r="L201" i="4"/>
  <c r="K201" i="4"/>
  <c r="J240" i="4"/>
  <c r="N240" i="4"/>
  <c r="N256" i="4"/>
  <c r="M240" i="4"/>
  <c r="M256" i="4"/>
  <c r="K99" i="4"/>
  <c r="K112" i="4"/>
  <c r="H99" i="4"/>
  <c r="L99" i="4"/>
  <c r="L112" i="4"/>
  <c r="E59" i="6"/>
  <c r="E60" i="6"/>
  <c r="B11" i="3"/>
  <c r="E10" i="3"/>
  <c r="F10" i="3"/>
  <c r="H10" i="3"/>
  <c r="M297" i="4"/>
  <c r="J297" i="4"/>
  <c r="N297" i="4"/>
  <c r="J292" i="4"/>
  <c r="N292" i="4"/>
  <c r="M292" i="4"/>
  <c r="H287" i="4"/>
  <c r="L287" i="4"/>
  <c r="L304" i="4"/>
  <c r="K287" i="4"/>
  <c r="K299" i="4"/>
  <c r="H299" i="4"/>
  <c r="L299" i="4"/>
  <c r="M288" i="4"/>
  <c r="J288" i="4"/>
  <c r="N288" i="4"/>
  <c r="M295" i="4"/>
  <c r="J295" i="4"/>
  <c r="N295" i="4"/>
  <c r="J286" i="4"/>
  <c r="N286" i="4"/>
  <c r="M286" i="4"/>
  <c r="K304" i="4"/>
  <c r="K216" i="4"/>
  <c r="H216" i="4"/>
  <c r="L216" i="4"/>
  <c r="H227" i="4"/>
  <c r="L227" i="4"/>
  <c r="K227" i="4"/>
  <c r="H222" i="4"/>
  <c r="L222" i="4"/>
  <c r="K222" i="4"/>
  <c r="H225" i="4"/>
  <c r="L225" i="4"/>
  <c r="K225" i="4"/>
  <c r="K219" i="4"/>
  <c r="H219" i="4"/>
  <c r="L219" i="4"/>
  <c r="H231" i="4"/>
  <c r="L231" i="4"/>
  <c r="K231" i="4"/>
  <c r="H214" i="4"/>
  <c r="L214" i="4"/>
  <c r="K214" i="4"/>
  <c r="K224" i="4"/>
  <c r="H224" i="4"/>
  <c r="L224" i="4"/>
  <c r="H228" i="4"/>
  <c r="L228" i="4"/>
  <c r="K228" i="4"/>
  <c r="K229" i="4"/>
  <c r="H229" i="4"/>
  <c r="L229" i="4"/>
  <c r="H223" i="4"/>
  <c r="L223" i="4"/>
  <c r="K223" i="4"/>
  <c r="H230" i="4"/>
  <c r="L230" i="4"/>
  <c r="K230" i="4"/>
  <c r="D62" i="9"/>
  <c r="D30" i="9"/>
  <c r="K193" i="4"/>
  <c r="H193" i="4"/>
  <c r="L193" i="4"/>
  <c r="H192" i="4"/>
  <c r="L192" i="4"/>
  <c r="K192" i="4"/>
  <c r="K197" i="4"/>
  <c r="H197" i="4"/>
  <c r="L197" i="4"/>
  <c r="H207" i="4"/>
  <c r="L207" i="4"/>
  <c r="K207" i="4"/>
  <c r="H203" i="4"/>
  <c r="L203" i="4"/>
  <c r="K203" i="4"/>
  <c r="H191" i="4"/>
  <c r="L191" i="4"/>
  <c r="K191" i="4"/>
  <c r="H195" i="4"/>
  <c r="L195" i="4"/>
  <c r="K195" i="4"/>
  <c r="H190" i="4"/>
  <c r="L190" i="4"/>
  <c r="K190" i="4"/>
  <c r="K189" i="4"/>
  <c r="H189" i="4"/>
  <c r="L189" i="4"/>
  <c r="K208" i="4"/>
  <c r="L232" i="4"/>
  <c r="N304" i="4"/>
  <c r="F11" i="3"/>
  <c r="H11" i="3"/>
  <c r="B12" i="3"/>
  <c r="E11" i="3"/>
  <c r="D10" i="7"/>
  <c r="L208" i="4"/>
  <c r="K232" i="4"/>
  <c r="M304" i="4"/>
  <c r="G305" i="4"/>
  <c r="E10" i="7"/>
  <c r="E13" i="7"/>
  <c r="E14" i="7"/>
  <c r="E22" i="7"/>
  <c r="E24" i="7"/>
  <c r="C10" i="7"/>
  <c r="E11" i="7"/>
  <c r="E12" i="7"/>
  <c r="E21" i="7"/>
  <c r="B13" i="3"/>
  <c r="E12" i="3"/>
  <c r="F12" i="3"/>
  <c r="H12" i="3"/>
  <c r="D11" i="8"/>
  <c r="E13" i="3"/>
  <c r="F13" i="3"/>
  <c r="H13" i="3"/>
  <c r="B14" i="3"/>
  <c r="E11" i="8"/>
  <c r="E14" i="8"/>
  <c r="E15" i="8"/>
  <c r="E23" i="8"/>
  <c r="E25" i="8"/>
  <c r="C11" i="8"/>
  <c r="E12" i="8"/>
  <c r="E13" i="8"/>
  <c r="E22" i="8"/>
  <c r="B15" i="3"/>
  <c r="F14" i="3"/>
  <c r="H14" i="3"/>
  <c r="E14" i="3"/>
  <c r="E15" i="3"/>
  <c r="F15" i="3"/>
  <c r="H15" i="3"/>
  <c r="B16" i="3"/>
  <c r="B17" i="3"/>
  <c r="F16" i="3"/>
  <c r="H16" i="3"/>
  <c r="E16" i="3"/>
  <c r="F17" i="3"/>
  <c r="H17" i="3"/>
  <c r="B18" i="3"/>
  <c r="E17" i="3"/>
  <c r="E18" i="3"/>
  <c r="F18" i="3"/>
  <c r="H18" i="3"/>
  <c r="B19" i="3"/>
  <c r="F19" i="3"/>
  <c r="H19" i="3"/>
  <c r="B20" i="3"/>
  <c r="E19" i="3"/>
  <c r="B21" i="3"/>
  <c r="F20" i="3"/>
  <c r="H20" i="3"/>
  <c r="E20" i="3"/>
  <c r="B22" i="3"/>
  <c r="F21" i="3"/>
  <c r="H21" i="3"/>
  <c r="E21" i="3"/>
  <c r="E22" i="3"/>
  <c r="F22" i="3"/>
  <c r="H22" i="3"/>
  <c r="B23" i="3"/>
  <c r="E23" i="3"/>
  <c r="F23" i="3"/>
  <c r="H23" i="3"/>
  <c r="B24" i="3"/>
  <c r="B25" i="3"/>
  <c r="F24" i="3"/>
  <c r="H24" i="3"/>
  <c r="E24" i="3"/>
  <c r="E25" i="3"/>
  <c r="F25" i="3"/>
  <c r="H25" i="3"/>
  <c r="B26" i="3"/>
  <c r="F26" i="3"/>
  <c r="H26" i="3"/>
  <c r="E26" i="3"/>
  <c r="B27" i="3"/>
  <c r="B28" i="3"/>
  <c r="F27" i="3"/>
  <c r="H27" i="3"/>
  <c r="E27" i="3"/>
  <c r="B29" i="3"/>
  <c r="F28" i="3"/>
  <c r="H28" i="3"/>
  <c r="E28" i="3"/>
  <c r="F29" i="3"/>
  <c r="H29" i="3"/>
  <c r="B30" i="3"/>
  <c r="B43" i="3"/>
  <c r="E43" i="3"/>
  <c r="E29" i="3"/>
  <c r="F30" i="3"/>
  <c r="H30" i="3"/>
  <c r="B31" i="3"/>
  <c r="E30" i="3"/>
  <c r="B32" i="3"/>
  <c r="E31" i="3"/>
  <c r="F31" i="3"/>
  <c r="H31" i="3"/>
  <c r="E32" i="3"/>
  <c r="F32" i="3"/>
  <c r="H32" i="3"/>
  <c r="B33" i="3"/>
  <c r="E33" i="3"/>
  <c r="F33" i="3"/>
  <c r="H33" i="3"/>
  <c r="B34" i="3"/>
  <c r="E34" i="3"/>
  <c r="F34" i="3"/>
  <c r="H34" i="3"/>
  <c r="B35" i="3"/>
  <c r="B36" i="3"/>
  <c r="F35" i="3"/>
  <c r="H35" i="3"/>
  <c r="E35" i="3"/>
  <c r="F36" i="3"/>
  <c r="H36" i="3"/>
  <c r="B37" i="3"/>
  <c r="E36" i="3"/>
  <c r="F37" i="3"/>
  <c r="H37" i="3"/>
  <c r="B38" i="3"/>
  <c r="E37" i="3"/>
  <c r="F38" i="3"/>
  <c r="H38" i="3"/>
  <c r="E38" i="3"/>
  <c r="B39" i="3"/>
  <c r="E39" i="3"/>
  <c r="F39" i="3"/>
  <c r="H39" i="3"/>
  <c r="B40" i="3"/>
  <c r="F40" i="3"/>
  <c r="H40" i="3"/>
  <c r="B41" i="3"/>
  <c r="E40" i="3"/>
  <c r="E41" i="3"/>
  <c r="F41" i="3"/>
  <c r="H41" i="3"/>
  <c r="B42" i="3"/>
  <c r="E42" i="3"/>
  <c r="F42" i="3"/>
  <c r="H42" i="3"/>
</calcChain>
</file>

<file path=xl/sharedStrings.xml><?xml version="1.0" encoding="utf-8"?>
<sst xmlns="http://schemas.openxmlformats.org/spreadsheetml/2006/main" count="1420" uniqueCount="486">
  <si>
    <r>
      <t xml:space="preserve">Керівник   </t>
    </r>
    <r>
      <rPr>
        <sz val="10"/>
        <rFont val="Times New Roman"/>
        <family val="1"/>
        <charset val="204"/>
      </rPr>
      <t xml:space="preserve">                                                                 ________________________                                                          ___________________________</t>
    </r>
  </si>
  <si>
    <t>М.П.                                                                                                     (підпис)                                                                                             (ініціали, прізвище)</t>
  </si>
  <si>
    <t>Температура зовнішнього повітря, град С</t>
  </si>
  <si>
    <t>Січень</t>
  </si>
  <si>
    <t>Лютий</t>
  </si>
  <si>
    <t>Березень</t>
  </si>
  <si>
    <t>Квітень (ОП)</t>
  </si>
  <si>
    <t>Квітень (МОП)</t>
  </si>
  <si>
    <t>Травень</t>
  </si>
  <si>
    <t>Червень</t>
  </si>
  <si>
    <t>Липень</t>
  </si>
  <si>
    <t>Серпень</t>
  </si>
  <si>
    <t>Вересень</t>
  </si>
  <si>
    <t>Жовтень (МОП)</t>
  </si>
  <si>
    <t>Жовтень (ОП)</t>
  </si>
  <si>
    <t>Листопад</t>
  </si>
  <si>
    <t>Грудень</t>
  </si>
  <si>
    <t>Гкал</t>
  </si>
  <si>
    <t>Температурат в подавальному трубопроводі, град С</t>
  </si>
  <si>
    <t>Температура змішування, град С</t>
  </si>
  <si>
    <t>СНіП</t>
  </si>
  <si>
    <t>Ду, мм</t>
  </si>
  <si>
    <t>Дзов, мм</t>
  </si>
  <si>
    <t>Вихідні дані для розрахунку:</t>
  </si>
  <si>
    <t>Для мереж, робота яких передбачена  цілорічно</t>
  </si>
  <si>
    <t>Для мереж, які працюють О.П.</t>
  </si>
  <si>
    <t>Температура в трубопроводі ГВП, град С</t>
  </si>
  <si>
    <t>Температура в циркуляційному трубопроводі ГВП, град С</t>
  </si>
  <si>
    <t>Температура грунта, град С</t>
  </si>
  <si>
    <t>Кількість днів роботи системи теплопостачання</t>
  </si>
  <si>
    <t>Діаметр умовний</t>
  </si>
  <si>
    <t>Діаметр зовнішній</t>
  </si>
  <si>
    <t>Довжина непоперед-ньо ізольова-них трубо-проводів (темп.граф 1)</t>
  </si>
  <si>
    <t>Довжина  попередньо ізольованих трубопрово-дів (темп. граф 1)</t>
  </si>
  <si>
    <t>Питомі втрати т.е. непоперед-ньоізольова-них трубопро-водів (темп. граф 1)</t>
  </si>
  <si>
    <t>Питомі втрати т.е. попередньо-ізольованих трубопрово-дів (темп. граф 1)</t>
  </si>
  <si>
    <t>Питомі втрати т.е. непоперед-ньоізольова-них трубопро-водів (темп. граф 2)</t>
  </si>
  <si>
    <t>Питомі втрати т.е. попередньо-ізольованих трубопров-дів (темп. граф2)</t>
  </si>
  <si>
    <t>Втрати т.е. з охолоджен-ням непопе-редньоізольо-ваних трубо-проводів (темп. граф1)</t>
  </si>
  <si>
    <t>Втрати т.е. з охолоджен-ням поперед-ньоізольова-них трубопро-водів (темп.граф1)</t>
  </si>
  <si>
    <t>Втрати т.е. з охолоджен-ням непопе-редньоізольо-ваних трубо-проводів (темп.граф2)</t>
  </si>
  <si>
    <t>Втрати т.е. з охолоджен-ням поперед-ньоізольо-ваних трубо-проводів (темп.граф2)</t>
  </si>
  <si>
    <t>Втрати т.е. з витоком теплоносія (темп граф 1)</t>
  </si>
  <si>
    <t>Втрати т.е. з витоком теплоносія (темп граф 2)</t>
  </si>
  <si>
    <t>мм</t>
  </si>
  <si>
    <t>м</t>
  </si>
  <si>
    <t xml:space="preserve">ккал/м/год </t>
  </si>
  <si>
    <t>м.куб./добу</t>
  </si>
  <si>
    <t>х</t>
  </si>
  <si>
    <t>Усього розподільчі тр-пров. ГВП надземної прокладки</t>
  </si>
  <si>
    <t>Усього магістраль підземної прокладки у непрох. каналах</t>
  </si>
  <si>
    <t>Усього магістраль безканальної прокладки</t>
  </si>
  <si>
    <t>Усього магістраль подачі надземної  прокладки</t>
  </si>
  <si>
    <t>Усього магістраль зворотня надземної  прокладки</t>
  </si>
  <si>
    <t>Усього розподільчі          тр-пров. у непрохідн. каналах</t>
  </si>
  <si>
    <t>Усього розподільчі    тр-пров. опалення  безканальної прокладки</t>
  </si>
  <si>
    <t>Усього розподільчі   тр-пров. подачі надземної  прокладки</t>
  </si>
  <si>
    <t>Усього розподільчі зворотні тр-пров. надземної  прокладки</t>
  </si>
  <si>
    <t>Довжина непоперед-ньо ізольова-них трубо-проводів (Подача)</t>
  </si>
  <si>
    <t>Довжина  попередньо ізольованих трубопрово-дів (Подача)</t>
  </si>
  <si>
    <t>Довжина непоперед-ньо ізольо-ваних трубо-проводів (Циркуляційні))</t>
  </si>
  <si>
    <t>Довжина  попередньо ізольованих трубопрово-дів (Циркуляційні)</t>
  </si>
  <si>
    <t>Усього розподільчі тр-пров. ГВП підземної прокладки</t>
  </si>
  <si>
    <t>Усього розподільчі опалення  безка-нальної прокладки</t>
  </si>
  <si>
    <t>Загальні втрати теплової енергії у теплових мережах, приєднаних до котельної з охолодженням теплоносія, Гкал</t>
  </si>
  <si>
    <t xml:space="preserve"> </t>
  </si>
  <si>
    <t xml:space="preserve">Злам температурногографіку розраховується вручну </t>
  </si>
  <si>
    <r>
      <t xml:space="preserve">Магістральні теплові мережі в </t>
    </r>
    <r>
      <rPr>
        <b/>
        <sz val="11"/>
        <color indexed="42"/>
        <rFont val="Times New Roman"/>
        <family val="1"/>
        <charset val="204"/>
      </rPr>
      <t>непрохідних каналах</t>
    </r>
    <r>
      <rPr>
        <b/>
        <sz val="11"/>
        <color indexed="8"/>
        <rFont val="Times New Roman"/>
        <family val="1"/>
        <charset val="204"/>
      </rPr>
      <t>, по яким транспортується теплова енергія і на потреби опалення і на потреби ГВП (передбачається цілорічне функціонування) та які побудовані, відремонтовані або модернізовані після 1990 року</t>
    </r>
  </si>
  <si>
    <r>
      <t>Магістральні теплові мережі</t>
    </r>
    <r>
      <rPr>
        <b/>
        <sz val="11"/>
        <color indexed="42"/>
        <rFont val="Times New Roman"/>
        <family val="1"/>
        <charset val="204"/>
      </rPr>
      <t xml:space="preserve"> безканальної </t>
    </r>
    <r>
      <rPr>
        <b/>
        <sz val="11"/>
        <color indexed="8"/>
        <rFont val="Times New Roman"/>
        <family val="1"/>
        <charset val="204"/>
      </rPr>
      <t>прокладки, по яким транспортується теплова енергія і на потреби опалення і на потреби ГВП (передбачається цілорічне функціонування) та які побудовані, відремонтовані або модернізовані після 1990 року</t>
    </r>
  </si>
  <si>
    <r>
      <t xml:space="preserve">Магістральні </t>
    </r>
    <r>
      <rPr>
        <b/>
        <sz val="11"/>
        <color indexed="42"/>
        <rFont val="Times New Roman"/>
        <family val="1"/>
        <charset val="204"/>
      </rPr>
      <t>подавальні</t>
    </r>
    <r>
      <rPr>
        <b/>
        <sz val="11"/>
        <color indexed="8"/>
        <rFont val="Times New Roman"/>
        <family val="1"/>
        <charset val="204"/>
      </rPr>
      <t xml:space="preserve"> трубопроводи розміщені на відкритому повітрі, по яким транспортується теплова енергія і на потреби опалення і на потреби ГВП (передбачається цілорічне функціонування) та які побудовані, відремонтовані або модернізовані після 1990 року</t>
    </r>
  </si>
  <si>
    <r>
      <t xml:space="preserve">Магістральні </t>
    </r>
    <r>
      <rPr>
        <b/>
        <sz val="11"/>
        <color indexed="42"/>
        <rFont val="Times New Roman"/>
        <family val="1"/>
        <charset val="204"/>
      </rPr>
      <t xml:space="preserve">зворотні </t>
    </r>
    <r>
      <rPr>
        <b/>
        <sz val="11"/>
        <color indexed="8"/>
        <rFont val="Times New Roman"/>
        <family val="1"/>
        <charset val="204"/>
      </rPr>
      <t>трубопроводи розміщені на відкритому повітрі, по яким транспортується теплова енергія і на потреби опалення і на потреби ГВП (передбачається цілорічне функціонування) та які побудовані, відремонтовані або модернізовані після 1990 року</t>
    </r>
  </si>
  <si>
    <r>
      <t>Розподільчі трубопроводи</t>
    </r>
    <r>
      <rPr>
        <b/>
        <sz val="11"/>
        <color indexed="36"/>
        <rFont val="Times New Roman"/>
        <family val="1"/>
        <charset val="204"/>
      </rPr>
      <t xml:space="preserve"> ГВП </t>
    </r>
    <r>
      <rPr>
        <b/>
        <sz val="11"/>
        <color indexed="8"/>
        <rFont val="Times New Roman"/>
        <family val="1"/>
        <charset val="204"/>
      </rPr>
      <t>розміщені на відкритому повітрі, по яким транспортується теплова енергія виключно на потреби ГВП (передбачається цілорічне функціонування) та які побудовані, відремонтовані або модернізовані після 1990 року</t>
    </r>
  </si>
  <si>
    <r>
      <t>Розподільчі теплові мережі</t>
    </r>
    <r>
      <rPr>
        <b/>
        <sz val="11"/>
        <color indexed="36"/>
        <rFont val="Times New Roman"/>
        <family val="1"/>
        <charset val="204"/>
      </rPr>
      <t xml:space="preserve"> ГВП</t>
    </r>
    <r>
      <rPr>
        <b/>
        <sz val="11"/>
        <color indexed="8"/>
        <rFont val="Times New Roman"/>
        <family val="1"/>
        <charset val="204"/>
      </rPr>
      <t xml:space="preserve"> безканальної прокладки, по яким транспортується теплова енергія виключно на потреби ГВП (передбачається цілорічне функціонування) та які побудовані, відремонтовані або модернізовані після 1990 року</t>
    </r>
  </si>
  <si>
    <r>
      <t xml:space="preserve">Розподільчі теплові мережі </t>
    </r>
    <r>
      <rPr>
        <b/>
        <sz val="11"/>
        <color indexed="36"/>
        <rFont val="Times New Roman"/>
        <family val="1"/>
        <charset val="204"/>
      </rPr>
      <t xml:space="preserve">ГВП </t>
    </r>
    <r>
      <rPr>
        <b/>
        <sz val="11"/>
        <color indexed="8"/>
        <rFont val="Times New Roman"/>
        <family val="1"/>
        <charset val="204"/>
      </rPr>
      <t>в непрохідних каналах, по яким транспортується теплова енергія виключно на потреби ГВП (передбачається цілорічне функціонування) та які побудовані, відремонтовані або модернізовані після 1990 року</t>
    </r>
  </si>
  <si>
    <r>
      <rPr>
        <b/>
        <sz val="11"/>
        <color indexed="47"/>
        <rFont val="Times New Roman"/>
        <family val="1"/>
        <charset val="204"/>
      </rPr>
      <t>Розміщені на відкритому повітрі розподільчі зворотні</t>
    </r>
    <r>
      <rPr>
        <b/>
        <sz val="11"/>
        <color indexed="8"/>
        <rFont val="Times New Roman"/>
        <family val="1"/>
        <charset val="204"/>
      </rPr>
      <t xml:space="preserve"> теплові мережі, по яким трансортується теплова енергія виключно на потреби опалення (передбачається функціонування виключно в опалювальний період),  побудовані, відремонтовані або модернізовані після 1990 року</t>
    </r>
  </si>
  <si>
    <r>
      <rPr>
        <b/>
        <sz val="11"/>
        <color indexed="47"/>
        <rFont val="Times New Roman"/>
        <family val="1"/>
        <charset val="204"/>
      </rPr>
      <t>Розміщені на відкритому повітрі розподільчі подавальні</t>
    </r>
    <r>
      <rPr>
        <b/>
        <sz val="11"/>
        <color indexed="8"/>
        <rFont val="Times New Roman"/>
        <family val="1"/>
        <charset val="204"/>
      </rPr>
      <t xml:space="preserve"> теплові мережі, по яким трансортується теплова енергія виключно на потреби опалення (передбачається функціонування виключно в опалювальний період),  побудовані, відремонтовані або модернізовані після 1990 року</t>
    </r>
  </si>
  <si>
    <r>
      <t xml:space="preserve">Розподільчі теплові мережі </t>
    </r>
    <r>
      <rPr>
        <b/>
        <sz val="11"/>
        <color indexed="47"/>
        <rFont val="Times New Roman"/>
        <family val="1"/>
        <charset val="204"/>
      </rPr>
      <t>безканальної прокладки</t>
    </r>
    <r>
      <rPr>
        <b/>
        <sz val="11"/>
        <color indexed="8"/>
        <rFont val="Times New Roman"/>
        <family val="1"/>
        <charset val="204"/>
      </rPr>
      <t>, по яким трансортується теплова енергія виключно на потреби опалення (передбачається функціонування виключно в опалювальний період), побудовані, відремонтовані або модернізовані після 1990 року</t>
    </r>
  </si>
  <si>
    <r>
      <t xml:space="preserve">Розподільчі теплові мережі </t>
    </r>
    <r>
      <rPr>
        <b/>
        <sz val="11"/>
        <color indexed="47"/>
        <rFont val="Times New Roman"/>
        <family val="1"/>
        <charset val="204"/>
      </rPr>
      <t>в непрохідних каналах</t>
    </r>
    <r>
      <rPr>
        <b/>
        <sz val="11"/>
        <color indexed="8"/>
        <rFont val="Times New Roman"/>
        <family val="1"/>
        <charset val="204"/>
      </rPr>
      <t>, по яким трансортується теплова енергія виключно на потреби опалення (передбачається функціонування виключно в опалювальний період), побудовані, відремонтовані або модернізовані після 1990 року</t>
    </r>
  </si>
  <si>
    <t>Температура в зворотному трубопроводі, град С</t>
  </si>
  <si>
    <t>Температура холодної п"ятиденки</t>
  </si>
  <si>
    <t>Температурний графік без зламу</t>
  </si>
  <si>
    <t>Температурний графік зі зламом</t>
  </si>
  <si>
    <t>Для показників трубопроводів, які працюють опалювальний період</t>
  </si>
  <si>
    <t xml:space="preserve">Втрати т.е. з витоком теплоносія </t>
  </si>
  <si>
    <t>Температура в тр.проводі ГВП</t>
  </si>
  <si>
    <t>Температура в тр.проводі циркуляційному</t>
  </si>
  <si>
    <t>Температура зовнішньо повітря</t>
  </si>
  <si>
    <t>Коефіцієнт тепловіддачі від трубопроводу до зовнішнього повітря</t>
  </si>
  <si>
    <t>Товщина ізоляції подавального трубопроводу</t>
  </si>
  <si>
    <t>Товщина ізоляції  зворотного трубопроводу</t>
  </si>
  <si>
    <t>Товщина ізоляції трубопроводу ГВС</t>
  </si>
  <si>
    <t>Товщина ізоляції циркуляційного  трубопроводу ГВС</t>
  </si>
  <si>
    <t>Коефіцієнт теплопроводності  ізоляції подавального трубопроводу</t>
  </si>
  <si>
    <t>Коефіцієнт теплопроводності  ізоляції звортотного трубопроводу</t>
  </si>
  <si>
    <t>Коефіцієнт теплопроводності  ізоляції  трубопроводу ГВС</t>
  </si>
  <si>
    <t>Коефіцієнт теплопроводності  ізоляції  циркуляційного  трубопроводу ГВС</t>
  </si>
  <si>
    <t>Питомі теплові втрати подавального трубопроводу</t>
  </si>
  <si>
    <t>Питомі теплові втрати звортотного  трубопроводу</t>
  </si>
  <si>
    <t>Питомі теплові втрати трубопроводу ГВС</t>
  </si>
  <si>
    <t>Питомі теплові втрати циркуляційного трубопроводу ГВС</t>
  </si>
  <si>
    <t>град С</t>
  </si>
  <si>
    <t>Вт/м.кв/год</t>
  </si>
  <si>
    <t>Вт/м/град С</t>
  </si>
  <si>
    <t>Показник</t>
  </si>
  <si>
    <t>од. виміру</t>
  </si>
  <si>
    <t>Надземна прокладка</t>
  </si>
  <si>
    <t>Глибина залягання осі трубопровода підземної прокладки</t>
  </si>
  <si>
    <t>Х</t>
  </si>
  <si>
    <t>Ширина внутрішня каналу</t>
  </si>
  <si>
    <t>Висота внутрішня каналу</t>
  </si>
  <si>
    <t>Ширина стінки каналу</t>
  </si>
  <si>
    <t>Температура води у подавальному трубопроводі</t>
  </si>
  <si>
    <t>Температура води у зворотному трубопроводі</t>
  </si>
  <si>
    <t>Температура  повітря в каналі</t>
  </si>
  <si>
    <t xml:space="preserve">Температура грунта на глибині розташування осі  трубопроводів підземної прокладки </t>
  </si>
  <si>
    <t>Коефіцієнт тепловіддачі від трубопроводу до  повітря у каналі та від повітря до стінки каналу</t>
  </si>
  <si>
    <t>Коефіціент теплопровідності грунта</t>
  </si>
  <si>
    <t>м.кв*град С/Вт</t>
  </si>
  <si>
    <t>Підземна безка нальна прокалад    ка</t>
  </si>
  <si>
    <t>Коефіціент теплопровідності матеріалу каналу</t>
  </si>
  <si>
    <t>Діаметр каналу еквівалентний зовнішній</t>
  </si>
  <si>
    <t>Діаметр каналу еквівалентний внутрішній</t>
  </si>
  <si>
    <t xml:space="preserve">Приведене значення подавального трубопроводу </t>
  </si>
  <si>
    <t xml:space="preserve">Приведене значення зворотноготрубопроводу </t>
  </si>
  <si>
    <t>Приведене значення трубопроводу ГВП</t>
  </si>
  <si>
    <t>Приведене значення циркуляційного трубопроводу ГВП</t>
  </si>
  <si>
    <t>Вт/м.кв/град С</t>
  </si>
  <si>
    <t>Приведене значення каналу</t>
  </si>
  <si>
    <t>Загальний термічний опір каналу, ут.ч.:</t>
  </si>
  <si>
    <t>термічний опір від повітря до стінки каналу</t>
  </si>
  <si>
    <t>термічний опір стінки каналу</t>
  </si>
  <si>
    <t>розрахунок термічного опору массиву грунта у випадку заглиблення перекриття каналу більше 0,7 м</t>
  </si>
  <si>
    <t>розрахунок термічного опору массиву грунта у випадку заглиблення перекриття каналу менше 0,7 м</t>
  </si>
  <si>
    <t>Приведене значення залягання осі трубопроводу при заглибленні перекриття каналу менше ніж на 0,7 м.</t>
  </si>
  <si>
    <t>ккал/год/м.пог</t>
  </si>
  <si>
    <t>ккал/год /м.пог</t>
  </si>
  <si>
    <t>Відстань між осями трубопроводів подаючого і зворотного</t>
  </si>
  <si>
    <t>Відстань між осями трубопроводів зворотного і ГВП</t>
  </si>
  <si>
    <t>Відстань між осями трубопроводів ГВП і циркуляційного ГВП</t>
  </si>
  <si>
    <t xml:space="preserve">Термічний опір  подавального трубопроводу/для бк лише ізоляції </t>
  </si>
  <si>
    <t xml:space="preserve">Термічний опір  звортотного  трубопроводу/для бк лише ізоляції </t>
  </si>
  <si>
    <t xml:space="preserve">Термічний опір  циркуляційного трубопроводу ГВП/для бк лише ізоляції </t>
  </si>
  <si>
    <t xml:space="preserve">Термічний опір теплоізоляції трубопроводу ГВП/для бк лише ізоляції </t>
  </si>
  <si>
    <t>Взаємний вплив між под і звор</t>
  </si>
  <si>
    <t>Вз впли між зв і ГВП</t>
  </si>
  <si>
    <t>Вз вплив між ГВП і Ц ГВП</t>
  </si>
  <si>
    <t>Термічний опір грунта для подвального трубопровода</t>
  </si>
  <si>
    <t>Термічний опір грунта для зворотоного трубопровода</t>
  </si>
  <si>
    <t>Термічний опір грунта для трубопровода ГВП</t>
  </si>
  <si>
    <t>Термічний опір грунта для циркуляційного трубопровода ГВП</t>
  </si>
  <si>
    <t>Діаметр зовнішній подавального трубопроводу</t>
  </si>
  <si>
    <t>Діаметр зовнішній зворотного трубопроводу</t>
  </si>
  <si>
    <t>Діаметр зовнішній трубопроводу ГВС</t>
  </si>
  <si>
    <t>Діаметр зовнішній циркуляційного трубопроводу ГВС</t>
  </si>
  <si>
    <t>Існуюча схема пркладки теплової мережі</t>
  </si>
  <si>
    <t>Прокладка підземна в нпрохідних каналах</t>
  </si>
  <si>
    <t>№ з/п</t>
  </si>
  <si>
    <t>Питомі втрати т.е. непоперед-ньоізольова-них трубопро-водів ГВП</t>
  </si>
  <si>
    <t>Питомі втрати т.е. попередньо-ізольованих трубопрово-дів ГВП</t>
  </si>
  <si>
    <t>Питомі втрати т.е. непоперед-ньоізольова-них трубопро-водів Циркуляц. ГВП</t>
  </si>
  <si>
    <t>Питомі втрати т.е. попередньо-ізольованих трубопров-дів Циркуляц ГВП</t>
  </si>
  <si>
    <t>Втрати т.е. з охолоджен-ням непопе-редньоізольо-ваних трубо-проводів ГВП</t>
  </si>
  <si>
    <t>Втрати т.е. з охолоджен-ням поперед-ньоізольова-них трубопро-водів ГВП</t>
  </si>
  <si>
    <t>Втрати т.е. з охолоджен-ням непопе-редньоізольо-ваних трубо-проводів Циркуляц ГВП</t>
  </si>
  <si>
    <t>Втрати т.е. з охолоджен-ням поперед-ньоізольо-ваних трубо-проводів Циркуляц ГВП</t>
  </si>
  <si>
    <t>Пропонована схема після реалізації ІП</t>
  </si>
  <si>
    <t>Температурний графік</t>
  </si>
  <si>
    <t xml:space="preserve">Розрахунок нормативних втрат теплової енергії з охолодженням за нормаи СНіПу </t>
  </si>
  <si>
    <t>Фактичні умови роботи</t>
  </si>
  <si>
    <t>Нормативні показники роботи до введення ІП</t>
  </si>
  <si>
    <t>Показники роботи після введення ІП</t>
  </si>
  <si>
    <t>Економія палива від впровадження ІП у порівнянні з фактичними умовами роботи, кг.у.п.</t>
  </si>
  <si>
    <t>Зменшення витрат фактичної собівартості за рахунок економії палива від впровадження ІП у порівнянні з фактичними умовами роботи, грн/рік</t>
  </si>
  <si>
    <t>Економія палива від впровадження ІП у порівнянні з нормативними умовами роботи існуючої теплової мережі, кг.у.п.</t>
  </si>
  <si>
    <t>Вартість усунення аварії на ділянці, що підлягає заміні</t>
  </si>
  <si>
    <t>Втрати теплової енергії на ділянці теплової мережі, що планується реконструювати у розрахунку на рік, Гкал</t>
  </si>
  <si>
    <t xml:space="preserve">Залізобетон </t>
  </si>
  <si>
    <t xml:space="preserve">Бетон на гравію або щебені з природного каменю </t>
  </si>
  <si>
    <t>3.2. Розчини будівельні</t>
  </si>
  <si>
    <t>Розчин цементно-піщаний</t>
  </si>
  <si>
    <t>Розчин складний</t>
  </si>
  <si>
    <t xml:space="preserve"> (пісок, вапно, цемент)</t>
  </si>
  <si>
    <t>Розчин вапняно-піщаний</t>
  </si>
  <si>
    <t>Назва матеріалу</t>
  </si>
  <si>
    <t>Характеристика в сухому стані</t>
  </si>
  <si>
    <t>Розрахунковий вміст вологи за масою в умовах експлуатації</t>
  </si>
  <si>
    <r>
      <t>w</t>
    </r>
    <r>
      <rPr>
        <sz val="10"/>
        <color indexed="8"/>
        <rFont val="Times New Roman"/>
        <family val="1"/>
        <charset val="204"/>
      </rPr>
      <t>, %</t>
    </r>
  </si>
  <si>
    <t>Розрахункові характеристики в умовах експлуатації</t>
  </si>
  <si>
    <t>густина,</t>
  </si>
  <si>
    <t>,</t>
  </si>
  <si>
    <r>
      <t xml:space="preserve"> кг/м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</si>
  <si>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питома теплоєм-</t>
  </si>
  <si>
    <t xml:space="preserve">ність, </t>
  </si>
  <si>
    <r>
      <t>с</t>
    </r>
    <r>
      <rPr>
        <i/>
        <vertAlign val="subscript"/>
        <sz val="10"/>
        <color indexed="8"/>
        <rFont val="Times New Roman"/>
        <family val="1"/>
        <charset val="204"/>
      </rPr>
      <t>0</t>
    </r>
    <r>
      <rPr>
        <i/>
        <sz val="10"/>
        <color indexed="8"/>
        <rFont val="Times New Roman"/>
        <family val="1"/>
        <charset val="204"/>
      </rPr>
      <t xml:space="preserve"> ,</t>
    </r>
  </si>
  <si>
    <t>кДж/(кг К)</t>
  </si>
  <si>
    <t>теплопро-відність</t>
  </si>
  <si>
    <t>Вт/(м К)</t>
  </si>
  <si>
    <t xml:space="preserve">теплопровідність, </t>
  </si>
  <si>
    <r>
      <t>λ</t>
    </r>
    <r>
      <rPr>
        <vertAlign val="subscript"/>
        <sz val="10"/>
        <color indexed="8"/>
        <rFont val="Times New Roman"/>
        <family val="1"/>
        <charset val="204"/>
      </rPr>
      <t>р</t>
    </r>
    <r>
      <rPr>
        <i/>
        <vertAlign val="subscript"/>
        <sz val="10"/>
        <color indexed="8"/>
        <rFont val="Times New Roman"/>
        <family val="1"/>
        <charset val="204"/>
      </rPr>
      <t>,</t>
    </r>
    <r>
      <rPr>
        <sz val="10"/>
        <color indexed="8"/>
        <rFont val="Times New Roman"/>
        <family val="1"/>
        <charset val="204"/>
      </rPr>
      <t xml:space="preserve"> Вт/(м К)</t>
    </r>
  </si>
  <si>
    <t xml:space="preserve">коефіцієнт теплозасвоєння, </t>
  </si>
  <si>
    <r>
      <t>s, Вт/(м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К)</t>
    </r>
  </si>
  <si>
    <t>коефіцієнт паропро-</t>
  </si>
  <si>
    <t xml:space="preserve">никності </t>
  </si>
  <si>
    <t>мг/(м год Па)</t>
  </si>
  <si>
    <t>А</t>
  </si>
  <si>
    <t>Б</t>
  </si>
  <si>
    <t>А,Б</t>
  </si>
  <si>
    <t>ДОДАТОК Л (обов’язковий) РОЗРАХУНКОВІ ТЕПЛОФІЗИЧНІ ХАРАКТЕРИСТИКИ БУДІВЕЛЬНИХ МАТЕРІАЛІВ</t>
  </si>
  <si>
    <t xml:space="preserve">
ДЕРЖАВНІ  БУДІВЕЛЬНІ  НОРМИ  УКРАЇНИ Конструкції будинків і споруд ТЕПЛОВА ІЗОЛЯЦІЯ БУДІВЕЛЬ
ДБН В.2.6-31:2006</t>
  </si>
  <si>
    <t>Коефіцієнти теплопровідності ґрунтів в залежності від ступеня зволоження</t>
  </si>
  <si>
    <t>Вид ґрунту</t>
  </si>
  <si>
    <r>
      <t>Коефіцієнт теплопровідності ґрунту λ</t>
    </r>
    <r>
      <rPr>
        <vertAlign val="subscript"/>
        <sz val="12"/>
        <color indexed="8"/>
        <rFont val="Times New Roman"/>
        <family val="1"/>
        <charset val="204"/>
      </rPr>
      <t>гр</t>
    </r>
    <r>
      <rPr>
        <sz val="12"/>
        <color indexed="8"/>
        <rFont val="Times New Roman"/>
        <family val="1"/>
        <charset val="204"/>
      </rPr>
      <t>, ккал/м·год·°С</t>
    </r>
  </si>
  <si>
    <t>сухого</t>
  </si>
  <si>
    <t>вологого</t>
  </si>
  <si>
    <t>водонасиченого</t>
  </si>
  <si>
    <t>1. Пісок, супісь</t>
  </si>
  <si>
    <t>2. Глина, суглинок</t>
  </si>
  <si>
    <t>3. Гравій, щебінь</t>
  </si>
  <si>
    <t xml:space="preserve">Строительные нормы и правила Тепловая изоляция оборудования и трубопроводов СНиП 2.04.14-88 </t>
  </si>
  <si>
    <t>РАСЧЕТНЫЕ ТЕХНИЧЕСКИЕ ХАРАКТЕРИСТИКИ ТЕПЛОИЗОЛЯЦИОННЫХ МАТЕРИАЛОВ И ИЗДЕЛИЙ</t>
  </si>
  <si>
    <t>Материал, изделие, ГОСТ или ТУ</t>
  </si>
  <si>
    <r>
      <t xml:space="preserve">Средняя плотность в конструкции </t>
    </r>
    <r>
      <rPr>
        <sz val="9"/>
        <color indexed="8"/>
        <rFont val="Symbol"/>
        <family val="1"/>
        <charset val="2"/>
      </rPr>
      <t>r</t>
    </r>
    <r>
      <rPr>
        <sz val="9"/>
        <color indexed="8"/>
        <rFont val="Times New Roman"/>
        <family val="1"/>
        <charset val="204"/>
      </rPr>
      <t>, кг/м</t>
    </r>
    <r>
      <rPr>
        <vertAlign val="superscript"/>
        <sz val="9"/>
        <color indexed="8"/>
        <rFont val="Times New Roman"/>
        <family val="1"/>
        <charset val="204"/>
      </rPr>
      <t>3</t>
    </r>
  </si>
  <si>
    <r>
      <t xml:space="preserve">Теплопроводность теплоизоляционного материала в конструкции </t>
    </r>
    <r>
      <rPr>
        <sz val="9"/>
        <color indexed="8"/>
        <rFont val="Symbol"/>
        <family val="1"/>
        <charset val="2"/>
      </rPr>
      <t>l</t>
    </r>
    <r>
      <rPr>
        <vertAlign val="subscript"/>
        <sz val="9"/>
        <color indexed="8"/>
        <rFont val="Times New Roman"/>
        <family val="1"/>
        <charset val="204"/>
      </rPr>
      <t>k</t>
    </r>
    <r>
      <rPr>
        <sz val="9"/>
        <color indexed="8"/>
        <rFont val="Times New Roman"/>
        <family val="1"/>
        <charset val="204"/>
      </rPr>
      <t>, Вт/(м</t>
    </r>
    <r>
      <rPr>
        <sz val="9"/>
        <color indexed="8"/>
        <rFont val="Symbol"/>
        <family val="1"/>
        <charset val="2"/>
      </rPr>
      <t>×°</t>
    </r>
    <r>
      <rPr>
        <sz val="9"/>
        <color indexed="8"/>
        <rFont val="Times New Roman"/>
        <family val="1"/>
        <charset val="204"/>
      </rPr>
      <t>С)</t>
    </r>
  </si>
  <si>
    <r>
      <t xml:space="preserve">Температура применения, </t>
    </r>
    <r>
      <rPr>
        <sz val="9"/>
        <color indexed="8"/>
        <rFont val="Symbol"/>
        <family val="1"/>
        <charset val="2"/>
      </rPr>
      <t>°</t>
    </r>
    <r>
      <rPr>
        <sz val="9"/>
        <color indexed="8"/>
        <rFont val="Times New Roman"/>
        <family val="1"/>
        <charset val="204"/>
      </rPr>
      <t>С</t>
    </r>
  </si>
  <si>
    <t>Группа горючести</t>
  </si>
  <si>
    <r>
      <t xml:space="preserve">для поверхностей с температурой, </t>
    </r>
    <r>
      <rPr>
        <sz val="9"/>
        <color indexed="8"/>
        <rFont val="Symbol"/>
        <family val="1"/>
        <charset val="2"/>
      </rPr>
      <t>°</t>
    </r>
    <r>
      <rPr>
        <sz val="9"/>
        <color indexed="8"/>
        <rFont val="Times New Roman"/>
        <family val="1"/>
        <charset val="204"/>
      </rPr>
      <t>С</t>
    </r>
  </si>
  <si>
    <t>20 и выше</t>
  </si>
  <si>
    <t>19 и ниже</t>
  </si>
  <si>
    <t>Изделия из пенопласта ФРП-1 и резопена, ГОСТ 22546-77, группы:</t>
  </si>
  <si>
    <t>65-85</t>
  </si>
  <si>
    <t>86-110</t>
  </si>
  <si>
    <r>
      <t>0,041+0,00023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</si>
  <si>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r>
      <t>0,043+0,00019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</si>
  <si>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t>0,051-0,045</t>
  </si>
  <si>
    <t>0,057-0,051</t>
  </si>
  <si>
    <t>От минус 180 до 130</t>
  </si>
  <si>
    <t>От минус 180 до 150</t>
  </si>
  <si>
    <t>Трудногорючие</t>
  </si>
  <si>
    <t>Изделия перлитоцементные ГОСТ 18109-80, марки:</t>
  </si>
  <si>
    <r>
      <t>0,07+0,00019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</si>
  <si>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r>
      <t>0,076+0,00019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</si>
  <si>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r>
      <t>0,081+0,00019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</si>
  <si>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t>-</t>
  </si>
  <si>
    <t>От 20 до 600</t>
  </si>
  <si>
    <t>Негорючие</t>
  </si>
  <si>
    <t>Изделия теплоизоляционные известково-кремнеземистые, ГОСТ 24748-81, марки:</t>
  </si>
  <si>
    <r>
      <t>0,069+0,00015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</si>
  <si>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r>
      <t>0,078+0, 00015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</si>
  <si>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t>Изделия минераловатные с гофрированной структурой для промышленной тепловой изоляции, ТУ 36.16.22-8-86, марки:</t>
  </si>
  <si>
    <t>В зависимос-ти от диамет-ра изолируе-мой поверх-ности</t>
  </si>
  <si>
    <t>От 66 до 98</t>
  </si>
  <si>
    <t>“ 84 “ 130</t>
  </si>
  <si>
    <r>
      <t>0,041+0,00034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</si>
  <si>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r>
      <t>0,042+0,0003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</si>
  <si>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t>0,054-0,05</t>
  </si>
  <si>
    <t>От минус 60 до 400</t>
  </si>
  <si>
    <t>Изделия теплоизоляционные вулканитовые, ГОСТ 10179-74, марки:</t>
  </si>
  <si>
    <r>
      <t>0,074+0,00015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</si>
  <si>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r>
      <t>0,079+0,00015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</si>
  <si>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r>
      <t>0,084+0,00015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</si>
  <si>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t xml:space="preserve">Маты звукопоглощающие базальтовые марки БЗМ, РСТ УССР 1977-87 </t>
  </si>
  <si>
    <t>До 80</t>
  </si>
  <si>
    <r>
      <t>0,04+0,0003t</t>
    </r>
    <r>
      <rPr>
        <vertAlign val="subscript"/>
        <sz val="9"/>
        <color indexed="8"/>
        <rFont val="Times New Roman"/>
        <family val="1"/>
        <charset val="204"/>
      </rPr>
      <t>m</t>
    </r>
  </si>
  <si>
    <t>От минус 180 до 450 в оболочке из ткани стеклянной; до 700 - в оболочке из кремнеземной ткани</t>
  </si>
  <si>
    <t>Маты минераловатные прошивные, ГОСТ 21880-86,        марки:</t>
  </si>
  <si>
    <t>102-132</t>
  </si>
  <si>
    <t>133-162</t>
  </si>
  <si>
    <r>
      <t>0,045+0,00021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</si>
  <si>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r>
      <t>0,049+0,0002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</si>
  <si>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t>0,059-0,054</t>
  </si>
  <si>
    <t>От минус 180 до 450 для матов на ткани, сетке, холсте из стекловолокна; до 700 - на металлической основе</t>
  </si>
  <si>
    <t xml:space="preserve">Негорючие </t>
  </si>
  <si>
    <t>Маты из стеклянного штапельного волокна на синтетическом свя-зующем ГОСТ 10499-78, марки:</t>
  </si>
  <si>
    <t>МС-35</t>
  </si>
  <si>
    <t>МС-50</t>
  </si>
  <si>
    <t>40-56</t>
  </si>
  <si>
    <t>58-80</t>
  </si>
  <si>
    <r>
      <t>0,04+0,0003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</si>
  <si>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r>
      <t>0,042+0,00028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</si>
  <si>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t>От минус 60 до 180</t>
  </si>
  <si>
    <r>
      <t xml:space="preserve">Температу-ра применения, </t>
    </r>
    <r>
      <rPr>
        <sz val="9"/>
        <color indexed="8"/>
        <rFont val="Symbol"/>
        <family val="1"/>
        <charset val="2"/>
      </rPr>
      <t>°</t>
    </r>
    <r>
      <rPr>
        <sz val="9"/>
        <color indexed="8"/>
        <rFont val="Times New Roman"/>
        <family val="1"/>
        <charset val="204"/>
      </rPr>
      <t>С</t>
    </r>
  </si>
  <si>
    <t>Маты и вата из супертонкого стеклянного волокна без связующего ТУ 21 РСФСР 224-87</t>
  </si>
  <si>
    <t>60-80</t>
  </si>
  <si>
    <r>
      <t>0,033+0,00014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</si>
  <si>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t>0,044-0,037</t>
  </si>
  <si>
    <t>От минус 180 до 400</t>
  </si>
  <si>
    <t>Плиты теплоизоляционные из минеральной ваты на синтетическом связующем ГОСТ 9573-82, марки:</t>
  </si>
  <si>
    <t>55-75</t>
  </si>
  <si>
    <t>75-115</t>
  </si>
  <si>
    <t>90-150</t>
  </si>
  <si>
    <t>150-210</t>
  </si>
  <si>
    <r>
      <t>0,04+0,00029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</si>
  <si>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r>
      <t>0,043+0,00022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</si>
  <si>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r>
      <t>0,044+0,00021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</si>
  <si>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r>
      <t>0,052+0,0002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</si>
  <si>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t>0,06-0,054</t>
  </si>
  <si>
    <t>Плиты из стеклянного штапельного волокна полужесткие, технические, ГОСТ 10499-78, марки:</t>
  </si>
  <si>
    <t>ППТ-50</t>
  </si>
  <si>
    <t>ППТ-75</t>
  </si>
  <si>
    <t>42-58</t>
  </si>
  <si>
    <t>59-86</t>
  </si>
  <si>
    <r>
      <t>0,042+0,00035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</si>
  <si>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r>
      <t>0,044+0,00023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</si>
  <si>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t>Плиты теплоизоляционные из минеральной ваты на битумном связующем, ГОСТ 10140-80, марки:</t>
  </si>
  <si>
    <t>90-120</t>
  </si>
  <si>
    <t>121-180</t>
  </si>
  <si>
    <t>151-200</t>
  </si>
  <si>
    <t>0,054-0,057</t>
  </si>
  <si>
    <t>0,058-0,062</t>
  </si>
  <si>
    <t>0,061-0,066</t>
  </si>
  <si>
    <t>От минус 100 до 60</t>
  </si>
  <si>
    <t>Марки 75- негорючие; остальные - горючие</t>
  </si>
  <si>
    <t>Плиты теплоизоляционные из пенопласта на основе резольных фенолформальдегидных смол, ГОСТ 20916-87, марки:</t>
  </si>
  <si>
    <t>Не более 50</t>
  </si>
  <si>
    <t>Св. 70 до 80</t>
  </si>
  <si>
    <t>Св. 80 до 100</t>
  </si>
  <si>
    <r>
      <t>0,040+0,00022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</si>
  <si>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r>
      <t>0,042+0,00023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</si>
  <si>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t>0,049-0,042</t>
  </si>
  <si>
    <t>Полотна холстопрошивные стекловолокнистые, ТУ 6-48-0209777-1-88, марки:</t>
  </si>
  <si>
    <t>ХПС-Т-5</t>
  </si>
  <si>
    <t>ХПС-Т-2,5</t>
  </si>
  <si>
    <t>180-320</t>
  </si>
  <si>
    <t>130-230</t>
  </si>
  <si>
    <r>
      <t>0,047+0,00023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</si>
  <si>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t>0,053-0,047</t>
  </si>
  <si>
    <t>От минус 200 до 550</t>
  </si>
  <si>
    <t>Песок перлитовый вспученный мелкий, ГОСТ 10832-83, марки:</t>
  </si>
  <si>
    <r>
      <t>0,052+0,00012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</si>
  <si>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r>
      <t>0,055+0,00012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</si>
  <si>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r>
      <t>0,058+0,00012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</si>
  <si>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t>0,05-0,042 0,054-0,047</t>
  </si>
  <si>
    <t>От минус 200 до 875</t>
  </si>
  <si>
    <t>Негорючий</t>
  </si>
  <si>
    <t>Полуцилиндры и цилиндры минераловатные на синтетическом связующем, ГОСТ 23208-83, марки:</t>
  </si>
  <si>
    <t>75-125</t>
  </si>
  <si>
    <t>126-175</t>
  </si>
  <si>
    <t>176-225</t>
  </si>
  <si>
    <r>
      <t>0,049+0,00021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</si>
  <si>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r>
      <t>0,051+0,0002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</si>
  <si>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r>
      <t>0,053+0,00019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</si>
  <si>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t>0,047-0,053</t>
  </si>
  <si>
    <t>0,054-0,059</t>
  </si>
  <si>
    <t>0,062-0,057</t>
  </si>
  <si>
    <t>Плиты пенополистирольные ГОСТ 15588-86, марки:</t>
  </si>
  <si>
    <t>30, 40</t>
  </si>
  <si>
    <t>0,048-0,04</t>
  </si>
  <si>
    <t>0,044-0,035</t>
  </si>
  <si>
    <t>0,042-0,032</t>
  </si>
  <si>
    <t>От минус 180 до 70</t>
  </si>
  <si>
    <t>Горючие</t>
  </si>
  <si>
    <t>Пенопласт плиточный, ТУ 6-05-1178-87, марки:</t>
  </si>
  <si>
    <t>ПС-4-40</t>
  </si>
  <si>
    <t>ПС-4-60</t>
  </si>
  <si>
    <t>ПС-4-65</t>
  </si>
  <si>
    <t>0,041-0,032</t>
  </si>
  <si>
    <t>0,048-0,039</t>
  </si>
  <si>
    <t>От минус 180 до 60</t>
  </si>
  <si>
    <t>Горючий</t>
  </si>
  <si>
    <t>Пенопласт плиточный ПХВ, ТУ 6-05-1179-83, марки:</t>
  </si>
  <si>
    <t>ПХВ-1-85</t>
  </si>
  <si>
    <t>ПХВ-1-115</t>
  </si>
  <si>
    <t>ПХВ-2-150</t>
  </si>
  <si>
    <t>0,04-0,03</t>
  </si>
  <si>
    <t>0,043-0,032</t>
  </si>
  <si>
    <t>0,047-0,036</t>
  </si>
  <si>
    <t>Пенопласт плиточный марки ПВ-1, ТУ 6-05-1158-87</t>
  </si>
  <si>
    <t>65, 95</t>
  </si>
  <si>
    <t>Пенопласт поливинилхлоридный эластичный ПВХ-Э, ТУ 6-05-1269-75</t>
  </si>
  <si>
    <t>0,05-0,04</t>
  </si>
  <si>
    <t>Пенопласт термореактивный ФК-20 и ФФ, жесткий, ТУ 6-05-1303-76, марки:</t>
  </si>
  <si>
    <t>ФК-20</t>
  </si>
  <si>
    <t>ФФ</t>
  </si>
  <si>
    <t>170, 200</t>
  </si>
  <si>
    <t>0,055-0,052</t>
  </si>
  <si>
    <t>От 0 до 120</t>
  </si>
  <si>
    <t>От минус 60 до 150</t>
  </si>
  <si>
    <t>Трудногорючий</t>
  </si>
  <si>
    <t>Пенополиуретан ППУ-331/3(заливочный)</t>
  </si>
  <si>
    <t>40-60</t>
  </si>
  <si>
    <t>0,036-0,031</t>
  </si>
  <si>
    <t>0,037-0,032</t>
  </si>
  <si>
    <t>От минус 180 до 120</t>
  </si>
  <si>
    <t>Пенопласт пенополиуретановый эластичный ППУ-ЭТ, ТУ 6-05-1734-75</t>
  </si>
  <si>
    <t>40-50</t>
  </si>
  <si>
    <t>0,043-0,038</t>
  </si>
  <si>
    <t>От минус 60 до 100</t>
  </si>
  <si>
    <t>Полотно иглопробивное стеклянное теплоизоляционное марки ИПС-Т-1000, ТУ 6-11-570-83</t>
  </si>
  <si>
    <t>Негорючее</t>
  </si>
  <si>
    <t>Ровинг (жгут) из стеклянных комплексных нитей, ГОСТ 17139-79</t>
  </si>
  <si>
    <t>200-250</t>
  </si>
  <si>
    <t>0,065-0,062</t>
  </si>
  <si>
    <t>От минус 180 до 450</t>
  </si>
  <si>
    <t>Шнур асбестовый, ГОСТ 1779-83,марки:</t>
  </si>
  <si>
    <t>ШАП</t>
  </si>
  <si>
    <t>ШАОН</t>
  </si>
  <si>
    <t>100-160</t>
  </si>
  <si>
    <t>750-600</t>
  </si>
  <si>
    <r>
      <t>0,093+0,0002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</si>
  <si>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r>
      <t>0,13+0,00026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</si>
  <si>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t>От 20 до 220</t>
  </si>
  <si>
    <t>От 20 до 400</t>
  </si>
  <si>
    <t>Шнур теплоизоляционный из минеральной ваты, ТУ 36-1695-79, марки:</t>
  </si>
  <si>
    <r>
      <t>0,056+0,00019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</si>
  <si>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r>
      <t>0,058+0,00019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</si>
  <si>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t>0,069-0,068</t>
  </si>
  <si>
    <t>От минус 180 до 600 в зависимости от материала сетчатой трубки</t>
  </si>
  <si>
    <t>В сетчатых трубках из металлической проволоки и нити стеклянной - негорючий; остальной - трудногорючий</t>
  </si>
  <si>
    <t>Холсты из микро-ультрасупертонкого стекломикрокристаллического штапельного волокна из горных пород, РСТ УССР 1970-86, марка БСТВ-ст</t>
  </si>
  <si>
    <r>
      <t>0,041+0,00029</t>
    </r>
    <r>
      <rPr>
        <i/>
        <sz val="9"/>
        <color indexed="8"/>
        <rFont val="Times New Roman"/>
        <family val="1"/>
        <charset val="204"/>
      </rPr>
      <t>t</t>
    </r>
    <r>
      <rPr>
        <i/>
        <vertAlign val="subscript"/>
        <sz val="9"/>
        <color indexed="8"/>
        <rFont val="Times New Roman"/>
        <family val="1"/>
        <charset val="204"/>
      </rPr>
      <t>m</t>
    </r>
  </si>
  <si>
    <t>От минус 269 до 600</t>
  </si>
  <si>
    <r>
      <t xml:space="preserve">Примечания: 1. </t>
    </r>
    <r>
      <rPr>
        <i/>
        <sz val="8"/>
        <color indexed="8"/>
        <rFont val="Times New Roman"/>
        <family val="1"/>
        <charset val="204"/>
      </rPr>
      <t>t</t>
    </r>
    <r>
      <rPr>
        <i/>
        <vertAlign val="subscript"/>
        <sz val="8"/>
        <color indexed="8"/>
        <rFont val="Times New Roman"/>
        <family val="1"/>
        <charset val="204"/>
      </rPr>
      <t>m</t>
    </r>
    <r>
      <rPr>
        <sz val="8"/>
        <color indexed="8"/>
        <rFont val="Times New Roman"/>
        <family val="1"/>
        <charset val="204"/>
      </rPr>
      <t xml:space="preserve"> - средняя температура теплоизоляционного слоя, </t>
    </r>
    <r>
      <rPr>
        <sz val="8"/>
        <color indexed="8"/>
        <rFont val="Symbol"/>
        <family val="1"/>
        <charset val="2"/>
      </rPr>
      <t>°</t>
    </r>
    <r>
      <rPr>
        <sz val="8"/>
        <color indexed="8"/>
        <rFont val="Times New Roman"/>
        <family val="1"/>
        <charset val="204"/>
      </rPr>
      <t xml:space="preserve">С ; </t>
    </r>
  </si>
  <si>
    <t xml:space="preserve">- на открытом воздухе в летнее время, в помещении, в каналах, тоннелях, технических подпольях, на чердаках и в подвалах зданий; </t>
  </si>
  <si>
    <r>
      <t xml:space="preserve">- на открытом воздухе в зимнее время, где </t>
    </r>
    <r>
      <rPr>
        <i/>
        <sz val="8"/>
        <color indexed="8"/>
        <rFont val="Times New Roman"/>
        <family val="1"/>
        <charset val="204"/>
      </rPr>
      <t>t</t>
    </r>
    <r>
      <rPr>
        <i/>
        <vertAlign val="subscript"/>
        <sz val="8"/>
        <color indexed="8"/>
        <rFont val="Times New Roman"/>
        <family val="1"/>
        <charset val="204"/>
      </rPr>
      <t>w</t>
    </r>
    <r>
      <rPr>
        <sz val="8"/>
        <color indexed="8"/>
        <rFont val="Times New Roman"/>
        <family val="1"/>
        <charset val="204"/>
      </rPr>
      <t xml:space="preserve"> - температура вещества.</t>
    </r>
  </si>
  <si>
    <r>
      <t xml:space="preserve">2. Большее значение расчетной теплопроводности теплоизоляционного материала в конструкции для поверхностей с температурой 19 </t>
    </r>
    <r>
      <rPr>
        <sz val="8"/>
        <color indexed="8"/>
        <rFont val="Symbol"/>
        <family val="1"/>
        <charset val="2"/>
      </rPr>
      <t>°</t>
    </r>
    <r>
      <rPr>
        <sz val="8"/>
        <color indexed="8"/>
        <rFont val="Times New Roman"/>
        <family val="1"/>
        <charset val="204"/>
      </rPr>
      <t xml:space="preserve">С и ниже относится к температуре вещества от минус 60 до 20 </t>
    </r>
    <r>
      <rPr>
        <sz val="8"/>
        <color indexed="8"/>
        <rFont val="Symbol"/>
        <family val="1"/>
        <charset val="2"/>
      </rPr>
      <t>°</t>
    </r>
    <r>
      <rPr>
        <sz val="8"/>
        <color indexed="8"/>
        <rFont val="Times New Roman"/>
        <family val="1"/>
        <charset val="204"/>
      </rPr>
      <t xml:space="preserve">С, меньшее - к температуре минус 140 </t>
    </r>
    <r>
      <rPr>
        <sz val="8"/>
        <color indexed="8"/>
        <rFont val="Symbol"/>
        <family val="1"/>
        <charset val="2"/>
      </rPr>
      <t>°</t>
    </r>
    <r>
      <rPr>
        <sz val="8"/>
        <color indexed="8"/>
        <rFont val="Times New Roman"/>
        <family val="1"/>
        <charset val="204"/>
      </rPr>
      <t>С и ниже. Для промежуточных значений температур теплопроводность определяется интерполяцией.</t>
    </r>
  </si>
  <si>
    <t>3. При изоляции поверхностей с применением жестких плит расчетную теплопроводность следует увеличивать на 10%.</t>
  </si>
  <si>
    <t>4. Допускается применение других материалов, отвечающих требованиям пп. 2.3;  2.4.</t>
  </si>
  <si>
    <t>Довжина усіх труб ділянки, м</t>
  </si>
  <si>
    <r>
      <t xml:space="preserve">          </t>
    </r>
    <r>
      <rPr>
        <sz val="10"/>
        <color indexed="8"/>
        <rFont val="Arial"/>
        <family val="2"/>
        <charset val="204"/>
      </rPr>
      <t>ДОДАТОК Е</t>
    </r>
  </si>
  <si>
    <t>(довідковий)</t>
  </si>
  <si>
    <r>
      <t xml:space="preserve">                          </t>
    </r>
    <r>
      <rPr>
        <b/>
        <sz val="10"/>
        <color indexed="8"/>
        <rFont val="Arial"/>
        <family val="2"/>
        <charset val="204"/>
      </rPr>
      <t>ГРАНИЧНІ ТОВЩИНИ ТЕПЛОІЗОЛЯЦІЙНИХ КОНСТРУКЦІЙ ДЛЯ ОБЛАДНАННЯ ТРУБОПРОВОДІВ</t>
    </r>
  </si>
  <si>
    <t>Зовнішній діаметр сталевих труб, мм</t>
  </si>
  <si>
    <t>Спосіб прокладання трубопроводів</t>
  </si>
  <si>
    <t>надземний</t>
  </si>
  <si>
    <t>у тунелі</t>
  </si>
  <si>
    <t>у непрохідному каналі</t>
  </si>
  <si>
    <t>Граничні товщини теплоізоляційного шару, мм, за температури, °С</t>
  </si>
  <si>
    <t>20 і більше</t>
  </si>
  <si>
    <t>до 150 включно</t>
  </si>
  <si>
    <t>151 і більше</t>
  </si>
  <si>
    <t>1020 і більше</t>
  </si>
  <si>
    <r>
      <t>Примітка.</t>
    </r>
    <r>
      <rPr>
        <sz val="9"/>
        <color indexed="8"/>
        <rFont val="Arial"/>
        <family val="2"/>
        <charset val="204"/>
      </rPr>
      <t xml:space="preserve"> У випадках, коли розрахункова товщина ізоляції більше граничної, слід приймати більш ефективний теплоізоляційний матеріал та обмежитися граничною товщиною теплової ізоляції, якщо це допустимо за умовами технологічного процесу.</t>
    </r>
    <r>
      <rPr>
        <sz val="9"/>
        <color indexed="8"/>
        <rFont val="Arial"/>
        <family val="2"/>
        <charset val="204"/>
      </rPr>
      <t xml:space="preserve"> </t>
    </r>
  </si>
  <si>
    <t>Температура  повітря в каналі в опалювальний період</t>
  </si>
  <si>
    <t>Температура  повітря в каналі в міжопалювальний період</t>
  </si>
  <si>
    <t>Температура грунта на глибині розташування осі  трубопроводів підземної прокладки в опалювальний період</t>
  </si>
  <si>
    <t>Температура зовнішньо повітря в опалювальний період</t>
  </si>
  <si>
    <t>Температура зовнішньо повітря в міжопалювальний період</t>
  </si>
  <si>
    <t>Питомі теплові втрати трубопроводу ГВС в ОП</t>
  </si>
  <si>
    <t>Питомі теплові втрати циркуляційного трубопроводу ГВС в ОП</t>
  </si>
  <si>
    <t>№з/п</t>
  </si>
  <si>
    <t>Розподільчі теплові мережі</t>
  </si>
  <si>
    <t>подз до 5000</t>
  </si>
  <si>
    <t>безкан до 5</t>
  </si>
  <si>
    <t>надз до 5000</t>
  </si>
  <si>
    <t>подз более 5000</t>
  </si>
  <si>
    <t>безкан более 5000</t>
  </si>
  <si>
    <t>надз более 5000</t>
  </si>
  <si>
    <t>Для середніх за рік показників трубопроводів, які працюють цілорічно (магістраль)</t>
  </si>
  <si>
    <t>Температура в подавальному трубопроводі, град С (дані з листа "темп граф" )</t>
  </si>
  <si>
    <t>Температура повітря, виходячи з якої проектувалася ізоляція трубопроводів, град С</t>
  </si>
  <si>
    <t>Температура грунту, виходячи з якої проектувалася ізоляція трубопроводів, град С</t>
  </si>
  <si>
    <t>Без ПДВ</t>
  </si>
  <si>
    <t>Вартість зворотних матеріалів (металобрухт тощо), грн</t>
  </si>
  <si>
    <t>Зменшення витрат планової собівартості за рахунок економії палива від впровадження ІП у порівнянні з нормативними умовами роботи, грн/рік</t>
  </si>
  <si>
    <t>Температура грунта на глибині розташування осі  трубопроводів підземної прокладки в міжопалювальний період</t>
  </si>
  <si>
    <t>Температура в подавальному трубопроводі, град С</t>
  </si>
  <si>
    <t>Час роботи мереж опалення на рік, годин</t>
  </si>
  <si>
    <t>Час роботи на рік, годин</t>
  </si>
  <si>
    <t>Трубопроводи, робота яких передбачена протягом усього року (магістральні трубопроводи)</t>
  </si>
  <si>
    <t>Трубопроводи, робота яких передбачена протягом усього року , так і протяго О.П. (розподільчі трубопроводи)</t>
  </si>
  <si>
    <t>Питомі теплові втрати трубопроводу ГВС в МОП</t>
  </si>
  <si>
    <t>Питомі теплові втрати циркуляційного трубопроводу ГВС в МОП</t>
  </si>
  <si>
    <t>Фактична питомаа питома витрата умовного палива, середньозважена по підприємству у розрахунку на обсяг відпуску в мережу теплової енергії , кг.у.п./Гкал</t>
  </si>
  <si>
    <t>Середня фактична вартість умовного палива  за попередній рік, грн/т.у.п.</t>
  </si>
  <si>
    <t>Прогнозна вартість умовна палива на поточний рік, грн./т.у.п.</t>
  </si>
  <si>
    <t>Амортизаційні відрахування у розрахунку на рік за податковим обліком, грн.</t>
  </si>
  <si>
    <t>Економічний ефект від впровадження ІП відносно фактичних умов роботи існуючої теплової мережі, грн</t>
  </si>
  <si>
    <t>Економічний ефект від впровадження ІП відносно нормативних умов роботи існуючої теплової мережі, грн</t>
  </si>
  <si>
    <t>Вартість реалізації заходу ІП, грн</t>
  </si>
  <si>
    <t>Термін окупності заходу ІП, роки</t>
  </si>
  <si>
    <t>Середня балансова вартість теплової мережі за податковим обліком, грн</t>
  </si>
  <si>
    <t xml:space="preserve">Магістральні теплові мережі </t>
  </si>
  <si>
    <t>Кількість авараій (поривів) на теплових мережах за рік у відношенні до 1 км.теплових мереж, аварія/км</t>
  </si>
  <si>
    <t>Середня вартість усунення 1 аварії (пориву), грн.</t>
  </si>
  <si>
    <t>Фактична питома питома витрата умовного палива, середньозважена по підприємству у розрахунку на обсяг відпуску в мережу теплової енергії , кг.у.п./Гкал</t>
  </si>
  <si>
    <t>Нормативна температура зовнішнього повітря, град С (за даними ДСТУ  Н-Б-В 1.1.-27:2010)</t>
  </si>
  <si>
    <t>Нормативна кількість днів роботи системи теплопоста  чання(за даними ДСТУ  Н-Б-В 1.1.-27:2010)</t>
  </si>
  <si>
    <t>Отчет о совместимости для Еталон мережі 24.10.2014.xls</t>
  </si>
  <si>
    <t>Дата отчета: 13.01.2015 17:04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</si>
  <si>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</si>
  <si>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</si>
  <si>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</si>
  <si>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</si>
  <si>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 xml:space="preserve">Заміна тепломережі </t>
  </si>
  <si>
    <t xml:space="preserve">Заміна тепломережі  </t>
  </si>
  <si>
    <t>Час роботи мереж ГВП на рік, годин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</si>
</sst>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80" formatCode="0.000"/>
    <numFmt numFmtId="181" formatCode="0.0"/>
    <numFmt numFmtId="182" formatCode="#,##0.000"/>
  </numFmts>
  <fonts count="59" x14ac:knownFonts="1"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indexed="14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</font>
    <font>
      <b/>
      <sz val="11"/>
      <color indexed="14"/>
      <name val="Times New Roman"/>
      <family val="1"/>
      <charset val="204"/>
    </font>
    <font>
      <sz val="11"/>
      <color indexed="14"/>
      <name val="Times New Roman"/>
      <family val="1"/>
      <charset val="204"/>
    </font>
    <font>
      <b/>
      <sz val="11"/>
      <color indexed="42"/>
      <name val="Times New Roman"/>
      <family val="1"/>
      <charset val="204"/>
    </font>
    <font>
      <b/>
      <sz val="11"/>
      <color indexed="36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Times New Roman"/>
      <family val="1"/>
      <charset val="204"/>
    </font>
    <font>
      <sz val="11"/>
      <color indexed="9"/>
      <name val="Times New Roman"/>
      <family val="1"/>
      <charset val="204"/>
    </font>
    <font>
      <b/>
      <sz val="11"/>
      <color indexed="47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i/>
      <vertAlign val="subscript"/>
      <sz val="10"/>
      <color indexed="8"/>
      <name val="Times New Roman"/>
      <family val="1"/>
      <charset val="204"/>
    </font>
    <font>
      <vertAlign val="subscript"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bscript"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Symbol"/>
      <family val="1"/>
      <charset val="2"/>
    </font>
    <font>
      <vertAlign val="superscript"/>
      <sz val="9"/>
      <color indexed="8"/>
      <name val="Times New Roman"/>
      <family val="1"/>
      <charset val="204"/>
    </font>
    <font>
      <vertAlign val="subscript"/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vertAlign val="subscript"/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i/>
      <vertAlign val="subscript"/>
      <sz val="8"/>
      <color indexed="8"/>
      <name val="Times New Roman"/>
      <family val="1"/>
      <charset val="204"/>
    </font>
    <font>
      <sz val="8"/>
      <color indexed="8"/>
      <name val="Symbol"/>
      <family val="1"/>
      <charset val="2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7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7"/>
      <color indexed="8"/>
      <name val="Times New Roman"/>
      <family val="1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1"/>
      <color indexed="8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</borders>
  <cellStyleXfs count="6">
    <xf numFmtId="0" fontId="0" fillId="0" borderId="0"/>
    <xf numFmtId="0" fontId="7" fillId="0" borderId="0"/>
    <xf numFmtId="0" fontId="13" fillId="0" borderId="0"/>
    <xf numFmtId="0" fontId="7" fillId="0" borderId="0"/>
    <xf numFmtId="0" fontId="18" fillId="0" borderId="0"/>
    <xf numFmtId="9" fontId="11" fillId="0" borderId="0" applyFont="0" applyFill="0" applyBorder="0" applyAlignment="0" applyProtection="0"/>
  </cellStyleXfs>
  <cellXfs count="618">
    <xf numFmtId="0" fontId="0" fillId="0" borderId="0" xfId="0"/>
    <xf numFmtId="0" fontId="3" fillId="0" borderId="0" xfId="0" applyFont="1" applyAlignment="1"/>
    <xf numFmtId="0" fontId="2" fillId="0" borderId="0" xfId="0" applyFont="1" applyBorder="1" applyAlignment="1"/>
    <xf numFmtId="0" fontId="6" fillId="0" borderId="0" xfId="0" applyFo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/>
    <xf numFmtId="0" fontId="5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81" fontId="0" fillId="0" borderId="1" xfId="0" applyNumberFormat="1" applyBorder="1" applyAlignment="1">
      <alignment horizontal="center" wrapText="1"/>
    </xf>
    <xf numFmtId="181" fontId="0" fillId="0" borderId="0" xfId="0" applyNumberFormat="1" applyAlignment="1">
      <alignment horizontal="center" wrapText="1"/>
    </xf>
    <xf numFmtId="181" fontId="0" fillId="0" borderId="0" xfId="0" applyNumberFormat="1" applyAlignment="1">
      <alignment horizontal="center"/>
    </xf>
    <xf numFmtId="181" fontId="10" fillId="0" borderId="1" xfId="0" applyNumberFormat="1" applyFont="1" applyBorder="1" applyAlignment="1">
      <alignment horizontal="center" wrapText="1"/>
    </xf>
    <xf numFmtId="181" fontId="10" fillId="0" borderId="0" xfId="0" applyNumberFormat="1" applyFont="1" applyAlignment="1">
      <alignment horizontal="center" wrapText="1"/>
    </xf>
    <xf numFmtId="181" fontId="10" fillId="0" borderId="0" xfId="0" applyNumberFormat="1" applyFont="1" applyAlignment="1">
      <alignment horizontal="center"/>
    </xf>
    <xf numFmtId="2" fontId="13" fillId="0" borderId="1" xfId="0" applyNumberFormat="1" applyFont="1" applyBorder="1" applyAlignment="1" applyProtection="1">
      <alignment horizontal="center"/>
      <protection locked="0"/>
    </xf>
    <xf numFmtId="2" fontId="13" fillId="0" borderId="1" xfId="0" applyNumberFormat="1" applyFont="1" applyBorder="1" applyProtection="1">
      <protection locked="0"/>
    </xf>
    <xf numFmtId="2" fontId="14" fillId="0" borderId="1" xfId="3" applyNumberFormat="1" applyFont="1" applyBorder="1" applyAlignment="1">
      <alignment horizontal="center" vertical="center" wrapText="1"/>
    </xf>
    <xf numFmtId="180" fontId="15" fillId="0" borderId="1" xfId="3" applyNumberFormat="1" applyFont="1" applyBorder="1" applyAlignment="1">
      <alignment horizontal="center" vertical="center" wrapText="1"/>
    </xf>
    <xf numFmtId="180" fontId="14" fillId="0" borderId="1" xfId="3" applyNumberFormat="1" applyFont="1" applyBorder="1" applyAlignment="1">
      <alignment horizontal="center" vertical="center" wrapText="1"/>
    </xf>
    <xf numFmtId="2" fontId="14" fillId="0" borderId="1" xfId="3" applyNumberFormat="1" applyFont="1" applyBorder="1" applyAlignment="1" applyProtection="1">
      <alignment wrapText="1"/>
      <protection locked="0"/>
    </xf>
    <xf numFmtId="2" fontId="6" fillId="0" borderId="1" xfId="3" applyNumberFormat="1" applyFont="1" applyBorder="1" applyAlignment="1">
      <alignment wrapText="1"/>
    </xf>
    <xf numFmtId="0" fontId="6" fillId="0" borderId="1" xfId="3" applyFont="1" applyBorder="1" applyAlignment="1">
      <alignment wrapText="1"/>
    </xf>
    <xf numFmtId="0" fontId="14" fillId="0" borderId="2" xfId="3" applyFont="1" applyBorder="1" applyAlignment="1">
      <alignment horizontal="left" vertical="center" wrapText="1"/>
    </xf>
    <xf numFmtId="0" fontId="14" fillId="0" borderId="0" xfId="3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180" fontId="14" fillId="0" borderId="4" xfId="3" applyNumberFormat="1" applyFont="1" applyBorder="1" applyAlignment="1">
      <alignment horizontal="center" vertical="center" wrapText="1"/>
    </xf>
    <xf numFmtId="0" fontId="14" fillId="0" borderId="0" xfId="3" applyFont="1" applyBorder="1" applyAlignment="1">
      <alignment horizontal="left" vertical="center" wrapText="1"/>
    </xf>
    <xf numFmtId="2" fontId="14" fillId="0" borderId="1" xfId="3" applyNumberFormat="1" applyFont="1" applyBorder="1" applyAlignment="1">
      <alignment horizontal="right" vertical="center" wrapText="1"/>
    </xf>
    <xf numFmtId="0" fontId="14" fillId="0" borderId="0" xfId="3" applyFont="1" applyAlignment="1">
      <alignment horizontal="left" vertical="center" wrapText="1"/>
    </xf>
    <xf numFmtId="0" fontId="14" fillId="0" borderId="0" xfId="3" applyFont="1" applyAlignment="1">
      <alignment horizontal="center" vertical="center" wrapText="1"/>
    </xf>
    <xf numFmtId="2" fontId="14" fillId="0" borderId="5" xfId="3" applyNumberFormat="1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6" fillId="0" borderId="0" xfId="3" applyFont="1" applyAlignment="1">
      <alignment horizontal="center" vertical="center" wrapText="1"/>
    </xf>
    <xf numFmtId="0" fontId="6" fillId="0" borderId="0" xfId="3" applyFont="1" applyAlignment="1">
      <alignment vertical="center" wrapText="1"/>
    </xf>
    <xf numFmtId="180" fontId="6" fillId="0" borderId="0" xfId="3" applyNumberFormat="1" applyFont="1" applyAlignment="1">
      <alignment vertical="center" wrapText="1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vertical="center"/>
    </xf>
    <xf numFmtId="0" fontId="6" fillId="0" borderId="0" xfId="3" applyFont="1"/>
    <xf numFmtId="0" fontId="20" fillId="0" borderId="0" xfId="3" applyFont="1" applyAlignment="1">
      <alignment horizontal="left" vertical="center" wrapText="1"/>
    </xf>
    <xf numFmtId="0" fontId="20" fillId="0" borderId="0" xfId="3" applyFont="1" applyAlignment="1">
      <alignment vertical="center" wrapText="1"/>
    </xf>
    <xf numFmtId="0" fontId="21" fillId="0" borderId="0" xfId="3" applyFont="1" applyAlignment="1">
      <alignment horizontal="left" vertical="center" wrapText="1"/>
    </xf>
    <xf numFmtId="0" fontId="21" fillId="0" borderId="0" xfId="3" applyFont="1" applyAlignment="1">
      <alignment vertical="center" wrapText="1"/>
    </xf>
    <xf numFmtId="0" fontId="21" fillId="0" borderId="0" xfId="3" applyFont="1" applyAlignment="1">
      <alignment vertical="center"/>
    </xf>
    <xf numFmtId="0" fontId="6" fillId="0" borderId="0" xfId="3" applyFont="1" applyFill="1"/>
    <xf numFmtId="0" fontId="6" fillId="0" borderId="0" xfId="3" applyFont="1" applyAlignment="1">
      <alignment wrapText="1"/>
    </xf>
    <xf numFmtId="0" fontId="6" fillId="0" borderId="1" xfId="3" applyFont="1" applyBorder="1" applyAlignment="1">
      <alignment vertical="center" wrapText="1"/>
    </xf>
    <xf numFmtId="0" fontId="6" fillId="2" borderId="1" xfId="3" applyFont="1" applyFill="1" applyBorder="1" applyAlignment="1">
      <alignment vertical="center" wrapText="1"/>
    </xf>
    <xf numFmtId="0" fontId="6" fillId="3" borderId="1" xfId="3" applyFont="1" applyFill="1" applyBorder="1" applyAlignment="1">
      <alignment wrapText="1"/>
    </xf>
    <xf numFmtId="0" fontId="6" fillId="4" borderId="1" xfId="3" applyFont="1" applyFill="1" applyBorder="1" applyAlignment="1">
      <alignment wrapText="1"/>
    </xf>
    <xf numFmtId="0" fontId="15" fillId="0" borderId="0" xfId="3" applyFont="1" applyProtection="1">
      <protection locked="0"/>
    </xf>
    <xf numFmtId="0" fontId="6" fillId="0" borderId="0" xfId="3" applyFont="1" applyAlignment="1">
      <alignment horizontal="center" vertical="center"/>
    </xf>
    <xf numFmtId="2" fontId="6" fillId="0" borderId="1" xfId="3" applyNumberFormat="1" applyFont="1" applyFill="1" applyBorder="1" applyAlignment="1">
      <alignment horizontal="right" vertical="center" wrapText="1"/>
    </xf>
    <xf numFmtId="0" fontId="6" fillId="5" borderId="0" xfId="3" applyFont="1" applyFill="1" applyAlignment="1">
      <alignment horizontal="center" vertical="center"/>
    </xf>
    <xf numFmtId="2" fontId="6" fillId="0" borderId="0" xfId="3" applyNumberFormat="1" applyFont="1" applyAlignment="1">
      <alignment wrapText="1"/>
    </xf>
    <xf numFmtId="2" fontId="6" fillId="0" borderId="1" xfId="3" applyNumberFormat="1" applyFont="1" applyBorder="1" applyAlignment="1">
      <alignment horizontal="right" vertical="center" wrapText="1"/>
    </xf>
    <xf numFmtId="2" fontId="16" fillId="0" borderId="0" xfId="3" applyNumberFormat="1" applyFont="1" applyAlignment="1">
      <alignment wrapText="1"/>
    </xf>
    <xf numFmtId="9" fontId="16" fillId="0" borderId="0" xfId="5" applyFont="1" applyAlignment="1">
      <alignment wrapText="1"/>
    </xf>
    <xf numFmtId="0" fontId="6" fillId="0" borderId="0" xfId="0" applyFont="1" applyAlignment="1">
      <alignment wrapText="1"/>
    </xf>
    <xf numFmtId="181" fontId="24" fillId="6" borderId="1" xfId="0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 applyProtection="1">
      <alignment horizontal="center"/>
      <protection locked="0"/>
    </xf>
    <xf numFmtId="0" fontId="4" fillId="0" borderId="0" xfId="0" applyNumberFormat="1" applyFont="1" applyAlignment="1"/>
    <xf numFmtId="2" fontId="12" fillId="7" borderId="1" xfId="0" applyNumberFormat="1" applyFont="1" applyFill="1" applyBorder="1" applyAlignment="1" applyProtection="1">
      <alignment horizontal="center"/>
      <protection locked="0"/>
    </xf>
    <xf numFmtId="0" fontId="20" fillId="0" borderId="0" xfId="3" applyFont="1" applyFill="1" applyAlignment="1"/>
    <xf numFmtId="0" fontId="16" fillId="0" borderId="0" xfId="3" applyNumberFormat="1" applyFont="1" applyFill="1" applyAlignment="1">
      <alignment wrapText="1"/>
    </xf>
    <xf numFmtId="0" fontId="20" fillId="0" borderId="0" xfId="3" applyFont="1" applyFill="1" applyAlignment="1">
      <alignment horizontal="left" wrapText="1"/>
    </xf>
    <xf numFmtId="180" fontId="6" fillId="0" borderId="0" xfId="3" applyNumberFormat="1" applyFont="1" applyAlignment="1">
      <alignment wrapText="1"/>
    </xf>
    <xf numFmtId="0" fontId="6" fillId="0" borderId="0" xfId="3" applyFont="1" applyAlignment="1">
      <alignment horizontal="left" wrapText="1"/>
    </xf>
    <xf numFmtId="0" fontId="6" fillId="0" borderId="1" xfId="3" applyFont="1" applyFill="1" applyBorder="1" applyAlignment="1">
      <alignment wrapText="1"/>
    </xf>
    <xf numFmtId="180" fontId="14" fillId="0" borderId="0" xfId="3" applyNumberFormat="1" applyFont="1" applyAlignment="1" applyProtection="1">
      <alignment wrapText="1"/>
      <protection locked="0"/>
    </xf>
    <xf numFmtId="0" fontId="15" fillId="0" borderId="0" xfId="3" applyFont="1" applyAlignment="1" applyProtection="1">
      <alignment horizontal="left" wrapText="1"/>
      <protection locked="0"/>
    </xf>
    <xf numFmtId="0" fontId="17" fillId="0" borderId="0" xfId="3" applyFont="1" applyAlignment="1">
      <alignment horizontal="left" wrapText="1"/>
    </xf>
    <xf numFmtId="2" fontId="6" fillId="7" borderId="4" xfId="3" applyNumberFormat="1" applyFont="1" applyFill="1" applyBorder="1" applyAlignment="1" applyProtection="1">
      <alignment horizontal="right" vertical="center" wrapText="1"/>
      <protection locked="0"/>
    </xf>
    <xf numFmtId="0" fontId="6" fillId="5" borderId="0" xfId="3" applyFont="1" applyFill="1" applyAlignment="1">
      <alignment horizontal="left" vertical="center" wrapText="1"/>
    </xf>
    <xf numFmtId="2" fontId="16" fillId="0" borderId="6" xfId="3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Alignment="1">
      <alignment wrapText="1"/>
    </xf>
    <xf numFmtId="2" fontId="12" fillId="8" borderId="1" xfId="0" applyNumberFormat="1" applyFont="1" applyFill="1" applyBorder="1" applyProtection="1">
      <protection locked="0"/>
    </xf>
    <xf numFmtId="180" fontId="24" fillId="8" borderId="1" xfId="0" applyNumberFormat="1" applyFont="1" applyFill="1" applyBorder="1" applyAlignment="1">
      <alignment horizontal="center" wrapText="1"/>
    </xf>
    <xf numFmtId="180" fontId="24" fillId="7" borderId="5" xfId="0" applyNumberFormat="1" applyFont="1" applyFill="1" applyBorder="1" applyAlignment="1">
      <alignment horizontal="center" wrapText="1"/>
    </xf>
    <xf numFmtId="2" fontId="1" fillId="0" borderId="5" xfId="0" applyNumberFormat="1" applyFont="1" applyBorder="1" applyAlignment="1" applyProtection="1">
      <alignment horizontal="center"/>
      <protection locked="0"/>
    </xf>
    <xf numFmtId="181" fontId="0" fillId="0" borderId="5" xfId="0" applyNumberFormat="1" applyBorder="1" applyAlignment="1">
      <alignment horizontal="center" wrapText="1"/>
    </xf>
    <xf numFmtId="2" fontId="13" fillId="0" borderId="5" xfId="0" applyNumberFormat="1" applyFont="1" applyBorder="1" applyProtection="1">
      <protection locked="0"/>
    </xf>
    <xf numFmtId="2" fontId="13" fillId="0" borderId="5" xfId="0" applyNumberFormat="1" applyFont="1" applyBorder="1" applyAlignment="1" applyProtection="1">
      <alignment horizontal="center"/>
      <protection locked="0"/>
    </xf>
    <xf numFmtId="2" fontId="1" fillId="7" borderId="1" xfId="0" applyNumberFormat="1" applyFont="1" applyFill="1" applyBorder="1" applyAlignment="1" applyProtection="1">
      <alignment horizontal="center"/>
      <protection locked="0"/>
    </xf>
    <xf numFmtId="2" fontId="13" fillId="7" borderId="1" xfId="0" applyNumberFormat="1" applyFont="1" applyFill="1" applyBorder="1" applyProtection="1">
      <protection locked="0"/>
    </xf>
    <xf numFmtId="2" fontId="13" fillId="7" borderId="1" xfId="0" applyNumberFormat="1" applyFont="1" applyFill="1" applyBorder="1" applyAlignment="1" applyProtection="1">
      <alignment horizontal="center"/>
      <protection locked="0"/>
    </xf>
    <xf numFmtId="181" fontId="24" fillId="0" borderId="1" xfId="0" applyNumberFormat="1" applyFont="1" applyBorder="1" applyAlignment="1">
      <alignment horizontal="center" wrapText="1"/>
    </xf>
    <xf numFmtId="2" fontId="14" fillId="7" borderId="1" xfId="3" applyNumberFormat="1" applyFont="1" applyFill="1" applyBorder="1" applyAlignment="1" applyProtection="1">
      <alignment wrapText="1"/>
      <protection locked="0"/>
    </xf>
    <xf numFmtId="0" fontId="0" fillId="0" borderId="1" xfId="0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2" fontId="14" fillId="0" borderId="1" xfId="3" applyNumberFormat="1" applyFont="1" applyFill="1" applyBorder="1" applyAlignment="1" applyProtection="1">
      <alignment wrapText="1"/>
      <protection locked="0"/>
    </xf>
    <xf numFmtId="2" fontId="0" fillId="0" borderId="5" xfId="0" applyNumberFormat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0" fontId="14" fillId="0" borderId="1" xfId="3" applyFont="1" applyFill="1" applyBorder="1" applyAlignment="1" applyProtection="1">
      <alignment wrapText="1"/>
      <protection locked="0"/>
    </xf>
    <xf numFmtId="180" fontId="0" fillId="0" borderId="5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80" fontId="0" fillId="0" borderId="8" xfId="0" applyNumberFormat="1" applyBorder="1" applyAlignment="1">
      <alignment horizontal="center" vertical="center" wrapText="1"/>
    </xf>
    <xf numFmtId="180" fontId="0" fillId="0" borderId="1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11" xfId="0" applyFill="1" applyBorder="1" applyAlignment="1">
      <alignment horizontal="center" vertical="center" wrapText="1"/>
    </xf>
    <xf numFmtId="0" fontId="0" fillId="7" borderId="12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2" fontId="0" fillId="0" borderId="7" xfId="0" applyNumberFormat="1" applyFont="1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2" fontId="0" fillId="0" borderId="5" xfId="0" applyNumberForma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19" xfId="0" applyNumberFormat="1" applyBorder="1" applyAlignment="1">
      <alignment horizontal="center" vertical="center" wrapText="1"/>
    </xf>
    <xf numFmtId="0" fontId="24" fillId="0" borderId="15" xfId="0" applyFont="1" applyBorder="1" applyAlignment="1">
      <alignment horizontal="left" vertical="center" wrapText="1"/>
    </xf>
    <xf numFmtId="2" fontId="24" fillId="0" borderId="8" xfId="0" applyNumberFormat="1" applyFont="1" applyBorder="1" applyAlignment="1">
      <alignment vertical="center" wrapText="1"/>
    </xf>
    <xf numFmtId="0" fontId="24" fillId="0" borderId="0" xfId="0" applyFont="1"/>
    <xf numFmtId="0" fontId="24" fillId="0" borderId="16" xfId="0" applyFont="1" applyBorder="1" applyAlignment="1">
      <alignment horizontal="left" vertical="center" wrapText="1"/>
    </xf>
    <xf numFmtId="2" fontId="24" fillId="0" borderId="4" xfId="0" applyNumberFormat="1" applyFont="1" applyBorder="1" applyAlignment="1">
      <alignment vertical="center" wrapText="1"/>
    </xf>
    <xf numFmtId="0" fontId="24" fillId="0" borderId="17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center" vertical="center" wrapText="1"/>
    </xf>
    <xf numFmtId="2" fontId="24" fillId="0" borderId="11" xfId="0" applyNumberFormat="1" applyFont="1" applyBorder="1" applyAlignment="1">
      <alignment vertical="center" wrapText="1"/>
    </xf>
    <xf numFmtId="2" fontId="24" fillId="0" borderId="9" xfId="0" applyNumberFormat="1" applyFont="1" applyFill="1" applyBorder="1" applyAlignment="1">
      <alignment horizontal="center" vertical="center" wrapText="1"/>
    </xf>
    <xf numFmtId="2" fontId="24" fillId="0" borderId="10" xfId="0" applyNumberFormat="1" applyFont="1" applyFill="1" applyBorder="1" applyAlignment="1">
      <alignment horizontal="center" vertical="center" wrapText="1"/>
    </xf>
    <xf numFmtId="2" fontId="24" fillId="0" borderId="12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left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181" fontId="24" fillId="0" borderId="7" xfId="0" applyNumberFormat="1" applyFont="1" applyFill="1" applyBorder="1" applyAlignment="1">
      <alignment horizontal="center" wrapText="1"/>
    </xf>
    <xf numFmtId="180" fontId="26" fillId="0" borderId="16" xfId="3" applyNumberFormat="1" applyFont="1" applyBorder="1" applyAlignment="1">
      <alignment wrapText="1"/>
    </xf>
    <xf numFmtId="2" fontId="14" fillId="0" borderId="7" xfId="3" applyNumberFormat="1" applyFont="1" applyBorder="1" applyAlignment="1" applyProtection="1">
      <alignment wrapText="1"/>
    </xf>
    <xf numFmtId="0" fontId="6" fillId="0" borderId="4" xfId="3" applyFont="1" applyBorder="1" applyAlignment="1">
      <alignment wrapText="1"/>
    </xf>
    <xf numFmtId="0" fontId="14" fillId="0" borderId="8" xfId="3" applyFont="1" applyBorder="1" applyAlignment="1">
      <alignment horizontal="center" wrapText="1"/>
    </xf>
    <xf numFmtId="0" fontId="14" fillId="0" borderId="9" xfId="3" applyFont="1" applyBorder="1" applyAlignment="1">
      <alignment horizontal="center" wrapText="1"/>
    </xf>
    <xf numFmtId="2" fontId="6" fillId="0" borderId="10" xfId="3" applyNumberFormat="1" applyFont="1" applyFill="1" applyBorder="1" applyAlignment="1">
      <alignment wrapText="1"/>
    </xf>
    <xf numFmtId="2" fontId="6" fillId="0" borderId="10" xfId="3" applyNumberFormat="1" applyFont="1" applyBorder="1" applyAlignment="1">
      <alignment wrapText="1"/>
    </xf>
    <xf numFmtId="0" fontId="6" fillId="0" borderId="10" xfId="3" applyFont="1" applyBorder="1" applyAlignment="1">
      <alignment wrapText="1"/>
    </xf>
    <xf numFmtId="2" fontId="14" fillId="7" borderId="10" xfId="3" applyNumberFormat="1" applyFont="1" applyFill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24" fillId="0" borderId="30" xfId="0" applyFont="1" applyBorder="1" applyAlignment="1">
      <alignment horizontal="center"/>
    </xf>
    <xf numFmtId="0" fontId="24" fillId="0" borderId="27" xfId="0" applyFont="1" applyBorder="1" applyAlignment="1">
      <alignment horizontal="center"/>
    </xf>
    <xf numFmtId="0" fontId="24" fillId="0" borderId="28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30" fillId="0" borderId="32" xfId="0" applyFont="1" applyBorder="1" applyAlignment="1">
      <alignment horizontal="center" vertical="center" wrapText="1"/>
    </xf>
    <xf numFmtId="0" fontId="30" fillId="0" borderId="33" xfId="0" applyFont="1" applyBorder="1" applyAlignment="1">
      <alignment horizontal="center" vertical="center" wrapText="1"/>
    </xf>
    <xf numFmtId="0" fontId="30" fillId="0" borderId="34" xfId="0" applyFont="1" applyBorder="1" applyAlignment="1">
      <alignment horizontal="center" vertical="center" wrapText="1"/>
    </xf>
    <xf numFmtId="0" fontId="31" fillId="0" borderId="34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35" xfId="0" applyFont="1" applyBorder="1" applyAlignment="1">
      <alignment horizontal="center" vertical="center" wrapText="1"/>
    </xf>
    <xf numFmtId="0" fontId="0" fillId="0" borderId="36" xfId="0" applyBorder="1"/>
    <xf numFmtId="0" fontId="0" fillId="0" borderId="0" xfId="0" applyAlignment="1">
      <alignment vertical="top" wrapText="1"/>
    </xf>
    <xf numFmtId="0" fontId="0" fillId="0" borderId="37" xfId="0" applyBorder="1" applyAlignment="1">
      <alignment vertical="top" wrapText="1"/>
    </xf>
    <xf numFmtId="0" fontId="29" fillId="0" borderId="35" xfId="0" applyFont="1" applyBorder="1" applyAlignment="1">
      <alignment horizontal="center" vertical="center" wrapText="1"/>
    </xf>
    <xf numFmtId="0" fontId="0" fillId="0" borderId="35" xfId="0" applyBorder="1" applyAlignment="1">
      <alignment vertical="top" wrapText="1"/>
    </xf>
    <xf numFmtId="0" fontId="0" fillId="0" borderId="34" xfId="0" applyBorder="1" applyAlignment="1">
      <alignment vertical="top" wrapText="1"/>
    </xf>
    <xf numFmtId="0" fontId="33" fillId="0" borderId="35" xfId="0" applyFont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29" fillId="0" borderId="35" xfId="0" applyFont="1" applyBorder="1" applyAlignment="1">
      <alignment vertical="center" wrapText="1"/>
    </xf>
    <xf numFmtId="0" fontId="29" fillId="0" borderId="34" xfId="0" applyFont="1" applyBorder="1" applyAlignment="1">
      <alignment horizontal="center" vertical="center" wrapText="1"/>
    </xf>
    <xf numFmtId="0" fontId="0" fillId="0" borderId="36" xfId="0" applyBorder="1" applyAlignment="1">
      <alignment vertical="top" wrapText="1"/>
    </xf>
    <xf numFmtId="0" fontId="0" fillId="0" borderId="38" xfId="0" applyBorder="1" applyAlignment="1">
      <alignment vertical="top" wrapText="1"/>
    </xf>
    <xf numFmtId="0" fontId="0" fillId="0" borderId="39" xfId="0" applyBorder="1"/>
    <xf numFmtId="0" fontId="30" fillId="0" borderId="0" xfId="0" applyFont="1" applyAlignment="1">
      <alignment horizontal="justify" vertical="center"/>
    </xf>
    <xf numFmtId="0" fontId="30" fillId="0" borderId="33" xfId="0" applyFont="1" applyBorder="1" applyAlignment="1">
      <alignment vertical="center" wrapText="1"/>
    </xf>
    <xf numFmtId="0" fontId="30" fillId="0" borderId="33" xfId="0" applyFont="1" applyBorder="1" applyAlignment="1">
      <alignment horizontal="justify" vertical="center" wrapText="1"/>
    </xf>
    <xf numFmtId="0" fontId="40" fillId="0" borderId="0" xfId="0" applyFont="1" applyAlignment="1">
      <alignment horizontal="justify" vertical="center"/>
    </xf>
    <xf numFmtId="0" fontId="40" fillId="0" borderId="40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0" fillId="0" borderId="41" xfId="0" applyFont="1" applyBorder="1" applyAlignment="1">
      <alignment horizontal="center" vertical="center" wrapText="1"/>
    </xf>
    <xf numFmtId="0" fontId="40" fillId="0" borderId="42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center" vertical="center" wrapText="1"/>
    </xf>
    <xf numFmtId="0" fontId="40" fillId="0" borderId="35" xfId="0" applyFont="1" applyBorder="1" applyAlignment="1">
      <alignment horizontal="center" vertical="center" wrapText="1"/>
    </xf>
    <xf numFmtId="0" fontId="40" fillId="0" borderId="36" xfId="0" applyFont="1" applyBorder="1" applyAlignment="1">
      <alignment horizontal="center" vertical="center" wrapText="1"/>
    </xf>
    <xf numFmtId="0" fontId="40" fillId="0" borderId="33" xfId="0" applyFont="1" applyBorder="1" applyAlignment="1">
      <alignment horizontal="center" vertical="center" wrapText="1"/>
    </xf>
    <xf numFmtId="0" fontId="40" fillId="0" borderId="29" xfId="0" applyFont="1" applyBorder="1" applyAlignment="1">
      <alignment vertical="center" wrapText="1"/>
    </xf>
    <xf numFmtId="0" fontId="0" fillId="0" borderId="29" xfId="0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40" fillId="0" borderId="37" xfId="0" applyFont="1" applyBorder="1" applyAlignment="1">
      <alignment horizontal="center" vertical="center" wrapText="1"/>
    </xf>
    <xf numFmtId="0" fontId="40" fillId="0" borderId="34" xfId="0" applyFont="1" applyBorder="1" applyAlignment="1">
      <alignment horizontal="center" vertical="center" wrapText="1"/>
    </xf>
    <xf numFmtId="0" fontId="46" fillId="0" borderId="35" xfId="0" applyFont="1" applyBorder="1" applyAlignment="1">
      <alignment horizontal="center" vertical="center" wrapText="1"/>
    </xf>
    <xf numFmtId="0" fontId="40" fillId="0" borderId="33" xfId="0" applyFont="1" applyBorder="1" applyAlignment="1">
      <alignment vertical="center" wrapText="1"/>
    </xf>
    <xf numFmtId="0" fontId="40" fillId="0" borderId="38" xfId="0" applyFont="1" applyBorder="1" applyAlignment="1">
      <alignment vertical="center" wrapText="1"/>
    </xf>
    <xf numFmtId="0" fontId="40" fillId="0" borderId="39" xfId="0" applyFont="1" applyBorder="1" applyAlignment="1">
      <alignment horizontal="center" vertical="center" wrapText="1"/>
    </xf>
    <xf numFmtId="0" fontId="40" fillId="0" borderId="38" xfId="0" applyFont="1" applyBorder="1" applyAlignment="1">
      <alignment horizontal="center" vertical="center" wrapText="1"/>
    </xf>
    <xf numFmtId="0" fontId="40" fillId="0" borderId="36" xfId="0" applyFont="1" applyBorder="1" applyAlignment="1">
      <alignment vertical="center" wrapText="1"/>
    </xf>
    <xf numFmtId="0" fontId="37" fillId="0" borderId="0" xfId="0" applyFont="1" applyAlignment="1">
      <alignment horizontal="justify" vertical="center"/>
    </xf>
    <xf numFmtId="2" fontId="24" fillId="0" borderId="7" xfId="0" applyNumberFormat="1" applyFont="1" applyBorder="1" applyAlignment="1">
      <alignment vertical="center" wrapText="1"/>
    </xf>
    <xf numFmtId="2" fontId="24" fillId="0" borderId="43" xfId="0" applyNumberFormat="1" applyFont="1" applyBorder="1" applyAlignment="1">
      <alignment vertical="center" wrapText="1"/>
    </xf>
    <xf numFmtId="2" fontId="24" fillId="0" borderId="25" xfId="0" applyNumberFormat="1" applyFont="1" applyBorder="1" applyAlignment="1">
      <alignment vertical="center" wrapText="1"/>
    </xf>
    <xf numFmtId="2" fontId="24" fillId="0" borderId="44" xfId="0" applyNumberFormat="1" applyFont="1" applyBorder="1" applyAlignment="1">
      <alignment vertical="center" wrapText="1"/>
    </xf>
    <xf numFmtId="2" fontId="24" fillId="0" borderId="45" xfId="0" applyNumberFormat="1" applyFont="1" applyBorder="1" applyAlignment="1">
      <alignment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46" xfId="0" applyBorder="1" applyAlignment="1">
      <alignment wrapText="1"/>
    </xf>
    <xf numFmtId="0" fontId="0" fillId="0" borderId="8" xfId="0" applyBorder="1" applyAlignment="1">
      <alignment wrapText="1"/>
    </xf>
    <xf numFmtId="4" fontId="0" fillId="0" borderId="8" xfId="0" applyNumberForma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0" fillId="0" borderId="47" xfId="0" applyBorder="1" applyAlignment="1">
      <alignment wrapText="1"/>
    </xf>
    <xf numFmtId="0" fontId="0" fillId="0" borderId="11" xfId="0" applyBorder="1" applyAlignment="1">
      <alignment wrapText="1"/>
    </xf>
    <xf numFmtId="4" fontId="0" fillId="0" borderId="11" xfId="0" applyNumberForma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0" fontId="52" fillId="0" borderId="0" xfId="0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3" fillId="0" borderId="0" xfId="0" applyFont="1" applyAlignment="1">
      <alignment vertical="center"/>
    </xf>
    <xf numFmtId="0" fontId="50" fillId="8" borderId="48" xfId="0" applyFont="1" applyFill="1" applyBorder="1" applyAlignment="1">
      <alignment horizontal="center" vertical="center" wrapText="1"/>
    </xf>
    <xf numFmtId="0" fontId="50" fillId="8" borderId="49" xfId="0" applyFont="1" applyFill="1" applyBorder="1" applyAlignment="1">
      <alignment horizontal="center" vertical="center" wrapText="1"/>
    </xf>
    <xf numFmtId="0" fontId="51" fillId="8" borderId="48" xfId="0" applyFont="1" applyFill="1" applyBorder="1" applyAlignment="1">
      <alignment horizontal="center" vertical="center" wrapText="1"/>
    </xf>
    <xf numFmtId="0" fontId="51" fillId="8" borderId="49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0" fontId="0" fillId="9" borderId="27" xfId="0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24" fillId="4" borderId="28" xfId="0" applyFont="1" applyFill="1" applyBorder="1" applyAlignment="1">
      <alignment horizontal="center"/>
    </xf>
    <xf numFmtId="0" fontId="24" fillId="4" borderId="26" xfId="0" applyFont="1" applyFill="1" applyBorder="1" applyAlignment="1">
      <alignment horizontal="center"/>
    </xf>
    <xf numFmtId="0" fontId="24" fillId="0" borderId="18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center" vertical="center" wrapText="1"/>
    </xf>
    <xf numFmtId="2" fontId="24" fillId="0" borderId="19" xfId="0" applyNumberFormat="1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left" vertical="center" wrapText="1"/>
    </xf>
    <xf numFmtId="0" fontId="0" fillId="0" borderId="31" xfId="0" applyBorder="1" applyAlignment="1">
      <alignment horizontal="center"/>
    </xf>
    <xf numFmtId="0" fontId="0" fillId="0" borderId="47" xfId="0" applyBorder="1" applyAlignment="1">
      <alignment horizontal="left" vertical="center" wrapText="1"/>
    </xf>
    <xf numFmtId="0" fontId="0" fillId="9" borderId="31" xfId="0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24" fillId="0" borderId="31" xfId="0" applyFont="1" applyBorder="1" applyAlignment="1">
      <alignment horizontal="center"/>
    </xf>
    <xf numFmtId="0" fontId="12" fillId="0" borderId="14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28" fillId="0" borderId="46" xfId="0" applyFont="1" applyBorder="1" applyAlignment="1">
      <alignment horizontal="center"/>
    </xf>
    <xf numFmtId="0" fontId="28" fillId="0" borderId="47" xfId="0" applyFont="1" applyBorder="1" applyAlignment="1">
      <alignment horizontal="center"/>
    </xf>
    <xf numFmtId="4" fontId="0" fillId="0" borderId="1" xfId="0" applyNumberFormat="1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2" fontId="0" fillId="0" borderId="0" xfId="0" applyNumberFormat="1" applyAlignment="1">
      <alignment wrapText="1"/>
    </xf>
    <xf numFmtId="0" fontId="6" fillId="10" borderId="1" xfId="3" applyFont="1" applyFill="1" applyBorder="1" applyAlignment="1">
      <alignment wrapText="1"/>
    </xf>
    <xf numFmtId="0" fontId="6" fillId="10" borderId="50" xfId="3" applyFont="1" applyFill="1" applyBorder="1" applyAlignment="1">
      <alignment wrapText="1"/>
    </xf>
    <xf numFmtId="0" fontId="6" fillId="10" borderId="1" xfId="3" applyFont="1" applyFill="1" applyBorder="1"/>
    <xf numFmtId="0" fontId="6" fillId="0" borderId="50" xfId="3" applyFont="1" applyBorder="1" applyAlignment="1">
      <alignment vertical="center" wrapText="1"/>
    </xf>
    <xf numFmtId="0" fontId="6" fillId="2" borderId="4" xfId="3" applyFont="1" applyFill="1" applyBorder="1" applyAlignment="1">
      <alignment vertical="center" wrapText="1"/>
    </xf>
    <xf numFmtId="0" fontId="6" fillId="2" borderId="51" xfId="3" applyFont="1" applyFill="1" applyBorder="1" applyAlignment="1">
      <alignment vertical="center" wrapText="1"/>
    </xf>
    <xf numFmtId="180" fontId="6" fillId="2" borderId="4" xfId="3" applyNumberFormat="1" applyFont="1" applyFill="1" applyBorder="1" applyAlignment="1">
      <alignment vertical="center" wrapText="1"/>
    </xf>
    <xf numFmtId="0" fontId="6" fillId="2" borderId="4" xfId="3" applyFont="1" applyFill="1" applyBorder="1" applyAlignment="1">
      <alignment horizontal="left" vertical="center" wrapText="1"/>
    </xf>
    <xf numFmtId="0" fontId="6" fillId="2" borderId="4" xfId="3" applyFont="1" applyFill="1" applyBorder="1" applyAlignment="1">
      <alignment vertical="center"/>
    </xf>
    <xf numFmtId="0" fontId="6" fillId="0" borderId="1" xfId="3" applyFont="1" applyFill="1" applyBorder="1"/>
    <xf numFmtId="0" fontId="6" fillId="9" borderId="1" xfId="3" applyFont="1" applyFill="1" applyBorder="1" applyAlignment="1">
      <alignment wrapText="1"/>
    </xf>
    <xf numFmtId="2" fontId="6" fillId="2" borderId="4" xfId="3" applyNumberFormat="1" applyFont="1" applyFill="1" applyBorder="1" applyAlignment="1">
      <alignment vertical="center"/>
    </xf>
    <xf numFmtId="0" fontId="4" fillId="0" borderId="0" xfId="0" applyFont="1" applyFill="1" applyAlignment="1"/>
    <xf numFmtId="0" fontId="7" fillId="0" borderId="0" xfId="0" applyFont="1" applyFill="1" applyAlignment="1">
      <alignment vertical="center"/>
    </xf>
    <xf numFmtId="0" fontId="0" fillId="0" borderId="52" xfId="0" applyBorder="1" applyAlignment="1">
      <alignment wrapText="1"/>
    </xf>
    <xf numFmtId="4" fontId="0" fillId="0" borderId="10" xfId="0" applyNumberFormat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center" wrapText="1"/>
    </xf>
    <xf numFmtId="4" fontId="0" fillId="0" borderId="8" xfId="0" applyNumberFormat="1" applyFill="1" applyBorder="1" applyAlignment="1">
      <alignment horizontal="center" vertical="center" wrapText="1"/>
    </xf>
    <xf numFmtId="181" fontId="12" fillId="0" borderId="1" xfId="0" applyNumberFormat="1" applyFont="1" applyBorder="1" applyAlignment="1">
      <alignment horizontal="center" wrapText="1"/>
    </xf>
    <xf numFmtId="0" fontId="14" fillId="0" borderId="53" xfId="3" applyFont="1" applyBorder="1" applyAlignment="1">
      <alignment horizontal="center" vertical="center" wrapText="1"/>
    </xf>
    <xf numFmtId="0" fontId="14" fillId="0" borderId="54" xfId="3" applyFont="1" applyBorder="1" applyAlignment="1">
      <alignment horizontal="center" vertical="center" wrapText="1"/>
    </xf>
    <xf numFmtId="0" fontId="14" fillId="0" borderId="32" xfId="3" applyFont="1" applyBorder="1" applyAlignment="1">
      <alignment horizontal="center" vertical="center" wrapText="1"/>
    </xf>
    <xf numFmtId="0" fontId="24" fillId="0" borderId="55" xfId="0" applyFont="1" applyBorder="1" applyAlignment="1">
      <alignment horizontal="center" vertical="center" wrapText="1"/>
    </xf>
    <xf numFmtId="0" fontId="24" fillId="0" borderId="56" xfId="0" applyFont="1" applyBorder="1" applyAlignment="1">
      <alignment horizontal="center" vertical="center" wrapText="1"/>
    </xf>
    <xf numFmtId="2" fontId="24" fillId="0" borderId="15" xfId="0" applyNumberFormat="1" applyFont="1" applyBorder="1" applyAlignment="1">
      <alignment vertical="center" wrapText="1"/>
    </xf>
    <xf numFmtId="2" fontId="24" fillId="0" borderId="17" xfId="0" applyNumberFormat="1" applyFont="1" applyBorder="1" applyAlignment="1">
      <alignment vertical="center" wrapText="1"/>
    </xf>
    <xf numFmtId="2" fontId="24" fillId="0" borderId="40" xfId="0" applyNumberFormat="1" applyFont="1" applyBorder="1" applyAlignment="1">
      <alignment vertical="center" wrapText="1"/>
    </xf>
    <xf numFmtId="2" fontId="24" fillId="0" borderId="33" xfId="0" applyNumberFormat="1" applyFont="1" applyBorder="1" applyAlignment="1">
      <alignment vertical="center" wrapText="1"/>
    </xf>
    <xf numFmtId="2" fontId="24" fillId="0" borderId="56" xfId="0" applyNumberFormat="1" applyFont="1" applyFill="1" applyBorder="1" applyAlignment="1">
      <alignment horizontal="center" vertical="center" wrapText="1"/>
    </xf>
    <xf numFmtId="4" fontId="0" fillId="7" borderId="1" xfId="0" applyNumberFormat="1" applyFill="1" applyBorder="1" applyAlignment="1" applyProtection="1">
      <alignment horizontal="center" vertical="center" wrapText="1"/>
      <protection locked="0"/>
    </xf>
    <xf numFmtId="182" fontId="0" fillId="7" borderId="4" xfId="0" applyNumberFormat="1" applyFill="1" applyBorder="1" applyAlignment="1" applyProtection="1">
      <alignment horizontal="center" vertical="center" wrapText="1"/>
      <protection locked="0"/>
    </xf>
    <xf numFmtId="4" fontId="0" fillId="7" borderId="5" xfId="0" applyNumberFormat="1" applyFill="1" applyBorder="1" applyAlignment="1" applyProtection="1">
      <alignment horizontal="center" vertical="center" wrapText="1"/>
      <protection locked="0"/>
    </xf>
    <xf numFmtId="4" fontId="0" fillId="7" borderId="10" xfId="0" applyNumberFormat="1" applyFill="1" applyBorder="1" applyAlignment="1" applyProtection="1">
      <alignment horizontal="center" vertical="center" wrapText="1"/>
      <protection locked="0"/>
    </xf>
    <xf numFmtId="0" fontId="0" fillId="7" borderId="4" xfId="0" applyFill="1" applyBorder="1" applyAlignment="1" applyProtection="1">
      <alignment horizontal="center" vertical="center" wrapText="1"/>
      <protection locked="0"/>
    </xf>
    <xf numFmtId="0" fontId="0" fillId="7" borderId="19" xfId="0" applyFill="1" applyBorder="1" applyAlignment="1" applyProtection="1">
      <alignment horizontal="center" vertical="center" wrapText="1"/>
      <protection locked="0"/>
    </xf>
    <xf numFmtId="0" fontId="0" fillId="7" borderId="1" xfId="0" applyFill="1" applyBorder="1" applyAlignment="1" applyProtection="1">
      <alignment horizontal="center" vertical="center" wrapText="1"/>
      <protection locked="0"/>
    </xf>
    <xf numFmtId="0" fontId="0" fillId="7" borderId="10" xfId="0" applyFill="1" applyBorder="1" applyAlignment="1" applyProtection="1">
      <alignment horizontal="center" vertical="center" wrapText="1"/>
      <protection locked="0"/>
    </xf>
    <xf numFmtId="0" fontId="0" fillId="7" borderId="11" xfId="0" applyFont="1" applyFill="1" applyBorder="1" applyAlignment="1" applyProtection="1">
      <alignment horizontal="center" vertical="center" wrapText="1"/>
      <protection locked="0"/>
    </xf>
    <xf numFmtId="0" fontId="0" fillId="7" borderId="8" xfId="0" applyFill="1" applyBorder="1" applyAlignment="1" applyProtection="1">
      <alignment horizontal="center" vertical="center" wrapText="1"/>
      <protection locked="0"/>
    </xf>
    <xf numFmtId="0" fontId="0" fillId="7" borderId="11" xfId="0" applyFill="1" applyBorder="1" applyAlignment="1" applyProtection="1">
      <alignment horizontal="center" vertical="center" wrapText="1"/>
      <protection locked="0"/>
    </xf>
    <xf numFmtId="0" fontId="0" fillId="7" borderId="9" xfId="0" applyFill="1" applyBorder="1" applyAlignment="1" applyProtection="1">
      <alignment horizontal="center" vertical="center" wrapText="1"/>
      <protection locked="0"/>
    </xf>
    <xf numFmtId="0" fontId="0" fillId="7" borderId="12" xfId="0" applyFill="1" applyBorder="1" applyAlignment="1" applyProtection="1">
      <alignment horizontal="center" vertical="center" wrapText="1"/>
      <protection locked="0"/>
    </xf>
    <xf numFmtId="2" fontId="24" fillId="0" borderId="12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7" xfId="0" applyNumberFormat="1" applyFont="1" applyFill="1" applyBorder="1" applyAlignment="1" applyProtection="1">
      <alignment horizontal="center" vertical="center" wrapText="1"/>
      <protection locked="0"/>
    </xf>
    <xf numFmtId="181" fontId="10" fillId="7" borderId="1" xfId="0" applyNumberFormat="1" applyFont="1" applyFill="1" applyBorder="1" applyAlignment="1" applyProtection="1">
      <alignment horizontal="center" wrapText="1"/>
      <protection locked="0"/>
    </xf>
    <xf numFmtId="181" fontId="0" fillId="7" borderId="1" xfId="0" applyNumberFormat="1" applyFill="1" applyBorder="1" applyAlignment="1" applyProtection="1">
      <alignment horizontal="center" wrapText="1"/>
      <protection locked="0"/>
    </xf>
    <xf numFmtId="0" fontId="9" fillId="7" borderId="1" xfId="0" applyFont="1" applyFill="1" applyBorder="1" applyAlignment="1" applyProtection="1">
      <alignment horizontal="center" vertical="center" wrapText="1"/>
      <protection locked="0"/>
    </xf>
    <xf numFmtId="1" fontId="0" fillId="7" borderId="1" xfId="0" applyNumberFormat="1" applyFill="1" applyBorder="1" applyAlignment="1" applyProtection="1">
      <alignment horizontal="center"/>
      <protection locked="0"/>
    </xf>
    <xf numFmtId="0" fontId="6" fillId="8" borderId="0" xfId="3" applyFont="1" applyFill="1" applyAlignment="1">
      <alignment vertical="center" wrapText="1"/>
    </xf>
    <xf numFmtId="180" fontId="6" fillId="8" borderId="0" xfId="3" applyNumberFormat="1" applyFont="1" applyFill="1" applyAlignment="1">
      <alignment vertical="center" wrapText="1"/>
    </xf>
    <xf numFmtId="0" fontId="16" fillId="8" borderId="0" xfId="3" applyNumberFormat="1" applyFont="1" applyFill="1" applyAlignment="1">
      <alignment wrapText="1"/>
    </xf>
    <xf numFmtId="0" fontId="6" fillId="8" borderId="0" xfId="3" applyFont="1" applyFill="1" applyAlignment="1">
      <alignment wrapText="1"/>
    </xf>
    <xf numFmtId="180" fontId="6" fillId="8" borderId="0" xfId="3" applyNumberFormat="1" applyFont="1" applyFill="1" applyAlignment="1">
      <alignment wrapText="1"/>
    </xf>
    <xf numFmtId="0" fontId="6" fillId="8" borderId="4" xfId="3" applyFont="1" applyFill="1" applyBorder="1" applyAlignment="1">
      <alignment vertical="center" wrapText="1"/>
    </xf>
    <xf numFmtId="1" fontId="6" fillId="8" borderId="4" xfId="3" applyNumberFormat="1" applyFont="1" applyFill="1" applyBorder="1" applyAlignment="1">
      <alignment vertical="center" wrapText="1"/>
    </xf>
    <xf numFmtId="0" fontId="6" fillId="8" borderId="1" xfId="3" applyFont="1" applyFill="1" applyBorder="1"/>
    <xf numFmtId="0" fontId="14" fillId="8" borderId="0" xfId="3" applyFont="1" applyFill="1" applyAlignment="1" applyProtection="1">
      <alignment wrapText="1"/>
      <protection locked="0"/>
    </xf>
    <xf numFmtId="0" fontId="14" fillId="8" borderId="0" xfId="3" applyFont="1" applyFill="1" applyAlignment="1" applyProtection="1">
      <alignment horizontal="right" wrapText="1"/>
      <protection locked="0"/>
    </xf>
    <xf numFmtId="180" fontId="14" fillId="8" borderId="0" xfId="3" applyNumberFormat="1" applyFont="1" applyFill="1" applyAlignment="1" applyProtection="1">
      <alignment wrapText="1"/>
      <protection locked="0"/>
    </xf>
    <xf numFmtId="0" fontId="14" fillId="8" borderId="53" xfId="3" applyFont="1" applyFill="1" applyBorder="1" applyAlignment="1">
      <alignment horizontal="center" vertical="center" wrapText="1"/>
    </xf>
    <xf numFmtId="0" fontId="14" fillId="8" borderId="32" xfId="3" applyFont="1" applyFill="1" applyBorder="1" applyAlignment="1">
      <alignment horizontal="center" vertical="center" wrapText="1"/>
    </xf>
    <xf numFmtId="180" fontId="14" fillId="8" borderId="6" xfId="3" applyNumberFormat="1" applyFont="1" applyFill="1" applyBorder="1" applyAlignment="1">
      <alignment horizontal="center" vertical="center" wrapText="1"/>
    </xf>
    <xf numFmtId="0" fontId="14" fillId="8" borderId="4" xfId="3" applyFont="1" applyFill="1" applyBorder="1" applyAlignment="1">
      <alignment horizontal="center" vertical="center" wrapText="1"/>
    </xf>
    <xf numFmtId="180" fontId="14" fillId="8" borderId="4" xfId="3" applyNumberFormat="1" applyFont="1" applyFill="1" applyBorder="1" applyAlignment="1">
      <alignment horizontal="center" vertical="center" wrapText="1"/>
    </xf>
    <xf numFmtId="2" fontId="6" fillId="8" borderId="1" xfId="3" applyNumberFormat="1" applyFont="1" applyFill="1" applyBorder="1" applyAlignment="1">
      <alignment horizontal="right" vertical="center" wrapText="1"/>
    </xf>
    <xf numFmtId="180" fontId="6" fillId="8" borderId="4" xfId="3" applyNumberFormat="1" applyFont="1" applyFill="1" applyBorder="1" applyAlignment="1">
      <alignment horizontal="right" vertical="center" wrapText="1"/>
    </xf>
    <xf numFmtId="2" fontId="14" fillId="8" borderId="1" xfId="3" applyNumberFormat="1" applyFont="1" applyFill="1" applyBorder="1" applyAlignment="1">
      <alignment horizontal="right" vertical="center" wrapText="1"/>
    </xf>
    <xf numFmtId="180" fontId="14" fillId="8" borderId="1" xfId="3" applyNumberFormat="1" applyFont="1" applyFill="1" applyBorder="1" applyAlignment="1">
      <alignment horizontal="right" vertical="center" wrapText="1"/>
    </xf>
    <xf numFmtId="0" fontId="14" fillId="8" borderId="1" xfId="3" applyFont="1" applyFill="1" applyBorder="1" applyAlignment="1">
      <alignment horizontal="center" vertical="center" wrapText="1"/>
    </xf>
    <xf numFmtId="180" fontId="14" fillId="8" borderId="1" xfId="3" applyNumberFormat="1" applyFont="1" applyFill="1" applyBorder="1" applyAlignment="1">
      <alignment horizontal="center" vertical="center" wrapText="1"/>
    </xf>
    <xf numFmtId="180" fontId="14" fillId="8" borderId="50" xfId="3" applyNumberFormat="1" applyFont="1" applyFill="1" applyBorder="1" applyAlignment="1">
      <alignment horizontal="center" vertical="center" wrapText="1"/>
    </xf>
    <xf numFmtId="180" fontId="14" fillId="8" borderId="51" xfId="3" applyNumberFormat="1" applyFont="1" applyFill="1" applyBorder="1" applyAlignment="1">
      <alignment horizontal="center" vertical="center" wrapText="1"/>
    </xf>
    <xf numFmtId="180" fontId="6" fillId="8" borderId="51" xfId="3" applyNumberFormat="1" applyFont="1" applyFill="1" applyBorder="1" applyAlignment="1">
      <alignment horizontal="right" vertical="center" wrapText="1"/>
    </xf>
    <xf numFmtId="180" fontId="14" fillId="8" borderId="50" xfId="3" applyNumberFormat="1" applyFont="1" applyFill="1" applyBorder="1" applyAlignment="1">
      <alignment horizontal="right" vertical="center" wrapText="1"/>
    </xf>
    <xf numFmtId="180" fontId="15" fillId="8" borderId="1" xfId="3" applyNumberFormat="1" applyFont="1" applyFill="1" applyBorder="1" applyAlignment="1">
      <alignment horizontal="center" vertical="center" wrapText="1"/>
    </xf>
    <xf numFmtId="2" fontId="6" fillId="8" borderId="0" xfId="3" applyNumberFormat="1" applyFont="1" applyFill="1" applyAlignment="1">
      <alignment wrapText="1"/>
    </xf>
    <xf numFmtId="0" fontId="15" fillId="8" borderId="0" xfId="0" applyFont="1" applyFill="1" applyAlignment="1">
      <alignment vertical="center" wrapText="1"/>
    </xf>
    <xf numFmtId="0" fontId="3" fillId="8" borderId="0" xfId="0" applyFont="1" applyFill="1" applyAlignment="1">
      <alignment horizontal="center"/>
    </xf>
    <xf numFmtId="0" fontId="0" fillId="8" borderId="0" xfId="0" applyFill="1" applyAlignment="1">
      <alignment vertical="center" wrapText="1"/>
    </xf>
    <xf numFmtId="0" fontId="6" fillId="8" borderId="0" xfId="0" applyFont="1" applyFill="1" applyAlignment="1">
      <alignment horizontal="center" wrapText="1"/>
    </xf>
    <xf numFmtId="0" fontId="6" fillId="8" borderId="0" xfId="3" applyFont="1" applyFill="1"/>
    <xf numFmtId="181" fontId="10" fillId="0" borderId="0" xfId="0" applyNumberFormat="1" applyFont="1" applyAlignment="1">
      <alignment horizontal="center" vertical="center" wrapText="1"/>
    </xf>
    <xf numFmtId="181" fontId="10" fillId="11" borderId="1" xfId="0" applyNumberFormat="1" applyFont="1" applyFill="1" applyBorder="1" applyAlignment="1" applyProtection="1">
      <alignment horizontal="center" wrapText="1"/>
      <protection locked="0"/>
    </xf>
    <xf numFmtId="0" fontId="9" fillId="11" borderId="1" xfId="0" applyFont="1" applyFill="1" applyBorder="1" applyAlignment="1" applyProtection="1">
      <alignment horizontal="center" vertical="center" wrapText="1"/>
      <protection locked="0"/>
    </xf>
    <xf numFmtId="1" fontId="0" fillId="11" borderId="1" xfId="0" applyNumberFormat="1" applyFill="1" applyBorder="1" applyAlignment="1" applyProtection="1">
      <alignment horizontal="center"/>
      <protection locked="0"/>
    </xf>
    <xf numFmtId="181" fontId="0" fillId="11" borderId="1" xfId="0" applyNumberFormat="1" applyFill="1" applyBorder="1" applyAlignment="1" applyProtection="1">
      <alignment horizontal="center" wrapText="1"/>
      <protection locked="0"/>
    </xf>
    <xf numFmtId="181" fontId="24" fillId="8" borderId="1" xfId="0" applyNumberFormat="1" applyFont="1" applyFill="1" applyBorder="1" applyAlignment="1">
      <alignment horizontal="center" wrapText="1"/>
    </xf>
    <xf numFmtId="1" fontId="24" fillId="8" borderId="1" xfId="0" applyNumberFormat="1" applyFont="1" applyFill="1" applyBorder="1" applyAlignment="1">
      <alignment horizontal="center" wrapText="1"/>
    </xf>
    <xf numFmtId="0" fontId="0" fillId="8" borderId="18" xfId="0" applyFill="1" applyBorder="1" applyAlignment="1">
      <alignment horizontal="left" vertical="center" wrapText="1"/>
    </xf>
    <xf numFmtId="0" fontId="0" fillId="8" borderId="16" xfId="0" applyFill="1" applyBorder="1" applyAlignment="1">
      <alignment horizontal="left" vertical="center" wrapText="1"/>
    </xf>
    <xf numFmtId="0" fontId="0" fillId="8" borderId="17" xfId="0" applyFill="1" applyBorder="1" applyAlignment="1">
      <alignment horizontal="left" vertical="center" wrapText="1"/>
    </xf>
    <xf numFmtId="0" fontId="0" fillId="8" borderId="3" xfId="0" applyFill="1" applyBorder="1" applyAlignment="1">
      <alignment horizontal="left" vertical="center" wrapText="1"/>
    </xf>
    <xf numFmtId="0" fontId="0" fillId="8" borderId="15" xfId="0" applyFill="1" applyBorder="1" applyAlignment="1">
      <alignment horizontal="left" vertical="center" wrapText="1"/>
    </xf>
    <xf numFmtId="0" fontId="0" fillId="8" borderId="0" xfId="0" applyFill="1"/>
    <xf numFmtId="0" fontId="0" fillId="8" borderId="1" xfId="0" applyFill="1" applyBorder="1" applyAlignment="1">
      <alignment horizontal="left" vertical="center" wrapText="1"/>
    </xf>
    <xf numFmtId="2" fontId="14" fillId="8" borderId="5" xfId="3" applyNumberFormat="1" applyFont="1" applyFill="1" applyBorder="1" applyAlignment="1" applyProtection="1">
      <alignment wrapText="1"/>
      <protection locked="0"/>
    </xf>
    <xf numFmtId="0" fontId="6" fillId="8" borderId="10" xfId="3" applyFont="1" applyFill="1" applyBorder="1" applyAlignment="1" applyProtection="1">
      <alignment wrapText="1"/>
      <protection locked="0"/>
    </xf>
    <xf numFmtId="2" fontId="14" fillId="8" borderId="11" xfId="3" applyNumberFormat="1" applyFont="1" applyFill="1" applyBorder="1" applyAlignment="1" applyProtection="1">
      <alignment wrapText="1"/>
      <protection locked="0"/>
    </xf>
    <xf numFmtId="0" fontId="6" fillId="8" borderId="12" xfId="3" applyFont="1" applyFill="1" applyBorder="1" applyAlignment="1" applyProtection="1">
      <alignment wrapText="1"/>
      <protection locked="0"/>
    </xf>
    <xf numFmtId="180" fontId="12" fillId="0" borderId="1" xfId="0" applyNumberFormat="1" applyFont="1" applyFill="1" applyBorder="1" applyAlignment="1">
      <alignment horizontal="center" wrapText="1"/>
    </xf>
    <xf numFmtId="2" fontId="58" fillId="0" borderId="0" xfId="0" applyNumberFormat="1" applyFont="1" applyAlignment="1">
      <alignment vertical="top" wrapText="1"/>
    </xf>
    <xf numFmtId="0" fontId="58" fillId="0" borderId="0" xfId="0" applyFont="1" applyAlignment="1">
      <alignment vertical="top" wrapText="1"/>
    </xf>
    <xf numFmtId="2" fontId="0" fillId="0" borderId="0" xfId="0" applyNumberFormat="1" applyAlignment="1">
      <alignment vertical="top" wrapText="1"/>
    </xf>
    <xf numFmtId="2" fontId="0" fillId="0" borderId="57" xfId="0" applyNumberFormat="1" applyBorder="1" applyAlignment="1">
      <alignment vertical="top" wrapText="1"/>
    </xf>
    <xf numFmtId="0" fontId="0" fillId="0" borderId="58" xfId="0" applyBorder="1" applyAlignment="1">
      <alignment vertical="top" wrapText="1"/>
    </xf>
    <xf numFmtId="0" fontId="58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2" fontId="58" fillId="0" borderId="0" xfId="0" applyNumberFormat="1" applyFont="1" applyAlignment="1">
      <alignment horizontal="center" vertical="top" wrapText="1"/>
    </xf>
    <xf numFmtId="0" fontId="0" fillId="0" borderId="58" xfId="0" applyBorder="1" applyAlignment="1">
      <alignment horizontal="center" vertical="top" wrapText="1"/>
    </xf>
    <xf numFmtId="0" fontId="0" fillId="0" borderId="59" xfId="0" applyBorder="1" applyAlignment="1">
      <alignment horizontal="center" vertical="top" wrapText="1"/>
    </xf>
    <xf numFmtId="2" fontId="24" fillId="0" borderId="39" xfId="0" applyNumberFormat="1" applyFont="1" applyBorder="1" applyAlignment="1">
      <alignment vertical="center" wrapText="1"/>
    </xf>
    <xf numFmtId="2" fontId="24" fillId="0" borderId="36" xfId="0" applyNumberFormat="1" applyFont="1" applyBorder="1" applyAlignment="1">
      <alignment vertical="center" wrapText="1"/>
    </xf>
    <xf numFmtId="2" fontId="24" fillId="0" borderId="46" xfId="0" applyNumberFormat="1" applyFont="1" applyBorder="1" applyAlignment="1">
      <alignment vertical="center" wrapText="1"/>
    </xf>
    <xf numFmtId="2" fontId="24" fillId="0" borderId="52" xfId="0" applyNumberFormat="1" applyFont="1" applyBorder="1" applyAlignment="1">
      <alignment vertical="center" wrapText="1"/>
    </xf>
    <xf numFmtId="2" fontId="24" fillId="0" borderId="47" xfId="0" applyNumberFormat="1" applyFont="1" applyBorder="1" applyAlignment="1">
      <alignment vertical="center" wrapText="1"/>
    </xf>
    <xf numFmtId="2" fontId="24" fillId="0" borderId="41" xfId="0" applyNumberFormat="1" applyFont="1" applyBorder="1" applyAlignment="1">
      <alignment vertical="center" wrapText="1"/>
    </xf>
    <xf numFmtId="2" fontId="24" fillId="0" borderId="0" xfId="0" applyNumberFormat="1" applyFont="1" applyBorder="1" applyAlignment="1">
      <alignment vertical="center" wrapText="1"/>
    </xf>
    <xf numFmtId="2" fontId="24" fillId="0" borderId="29" xfId="0" applyNumberFormat="1" applyFont="1" applyBorder="1" applyAlignment="1">
      <alignment vertical="center" wrapText="1"/>
    </xf>
    <xf numFmtId="2" fontId="24" fillId="0" borderId="60" xfId="0" applyNumberFormat="1" applyFont="1" applyBorder="1" applyAlignment="1">
      <alignment vertical="center" wrapText="1"/>
    </xf>
    <xf numFmtId="2" fontId="24" fillId="0" borderId="51" xfId="0" applyNumberFormat="1" applyFont="1" applyFill="1" applyBorder="1" applyAlignment="1">
      <alignment horizontal="center" vertical="center" wrapText="1"/>
    </xf>
    <xf numFmtId="0" fontId="24" fillId="0" borderId="50" xfId="0" applyFont="1" applyBorder="1" applyAlignment="1">
      <alignment horizontal="center" vertical="center" wrapText="1"/>
    </xf>
    <xf numFmtId="0" fontId="24" fillId="0" borderId="61" xfId="0" applyFont="1" applyBorder="1" applyAlignment="1">
      <alignment horizontal="center" vertical="center" wrapText="1"/>
    </xf>
    <xf numFmtId="2" fontId="24" fillId="0" borderId="16" xfId="0" applyNumberFormat="1" applyFont="1" applyBorder="1" applyAlignment="1">
      <alignment vertical="center" wrapText="1"/>
    </xf>
    <xf numFmtId="2" fontId="0" fillId="7" borderId="8" xfId="0" applyNumberFormat="1" applyFill="1" applyBorder="1" applyAlignment="1" applyProtection="1">
      <alignment horizontal="center" vertical="center" wrapText="1"/>
      <protection locked="0"/>
    </xf>
    <xf numFmtId="2" fontId="0" fillId="7" borderId="1" xfId="0" applyNumberFormat="1" applyFill="1" applyBorder="1" applyAlignment="1" applyProtection="1">
      <alignment horizontal="center" vertical="center" wrapText="1"/>
      <protection locked="0"/>
    </xf>
    <xf numFmtId="4" fontId="0" fillId="0" borderId="17" xfId="0" applyNumberForma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6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60" xfId="0" applyBorder="1" applyAlignment="1">
      <alignment wrapText="1"/>
    </xf>
    <xf numFmtId="3" fontId="0" fillId="0" borderId="19" xfId="0" applyNumberFormat="1" applyBorder="1" applyAlignment="1">
      <alignment horizontal="center" vertical="center" wrapText="1"/>
    </xf>
    <xf numFmtId="4" fontId="0" fillId="0" borderId="10" xfId="0" applyNumberFormat="1" applyFill="1" applyBorder="1" applyAlignment="1">
      <alignment horizontal="center" vertical="center" wrapText="1"/>
    </xf>
    <xf numFmtId="0" fontId="0" fillId="0" borderId="62" xfId="0" applyBorder="1" applyAlignment="1">
      <alignment wrapText="1"/>
    </xf>
    <xf numFmtId="4" fontId="0" fillId="7" borderId="13" xfId="0" applyNumberFormat="1" applyFill="1" applyBorder="1" applyAlignment="1" applyProtection="1">
      <alignment horizontal="center" vertical="center" wrapText="1"/>
      <protection locked="0"/>
    </xf>
    <xf numFmtId="0" fontId="0" fillId="7" borderId="18" xfId="0" applyFill="1" applyBorder="1" applyAlignment="1" applyProtection="1">
      <alignment horizontal="center" vertical="center" wrapText="1"/>
      <protection locked="0"/>
    </xf>
    <xf numFmtId="0" fontId="0" fillId="7" borderId="16" xfId="0" applyFill="1" applyBorder="1" applyAlignment="1" applyProtection="1">
      <alignment horizontal="center" vertical="center" wrapText="1"/>
      <protection locked="0"/>
    </xf>
    <xf numFmtId="0" fontId="0" fillId="7" borderId="16" xfId="0" applyFill="1" applyBorder="1" applyAlignment="1">
      <alignment horizontal="center" vertical="center" wrapText="1"/>
    </xf>
    <xf numFmtId="0" fontId="0" fillId="7" borderId="17" xfId="0" applyFont="1" applyFill="1" applyBorder="1" applyAlignment="1" applyProtection="1">
      <alignment horizontal="center" vertical="center" wrapText="1"/>
      <protection locked="0"/>
    </xf>
    <xf numFmtId="2" fontId="0" fillId="0" borderId="3" xfId="0" applyNumberFormat="1" applyFont="1" applyFill="1" applyBorder="1" applyAlignment="1">
      <alignment horizontal="center" vertical="center" wrapText="1"/>
    </xf>
    <xf numFmtId="0" fontId="0" fillId="7" borderId="15" xfId="0" applyFill="1" applyBorder="1" applyAlignment="1" applyProtection="1">
      <alignment horizontal="center" vertical="center" wrapText="1"/>
      <protection locked="0"/>
    </xf>
    <xf numFmtId="0" fontId="0" fillId="7" borderId="17" xfId="0" applyFill="1" applyBorder="1" applyAlignment="1" applyProtection="1">
      <alignment horizontal="center" vertical="center" wrapText="1"/>
      <protection locked="0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2" fontId="0" fillId="0" borderId="16" xfId="0" applyNumberFormat="1" applyFill="1" applyBorder="1" applyAlignment="1">
      <alignment horizontal="center" vertical="center" wrapText="1"/>
    </xf>
    <xf numFmtId="2" fontId="0" fillId="0" borderId="14" xfId="0" applyNumberFormat="1" applyFill="1" applyBorder="1" applyAlignment="1">
      <alignment horizontal="center" vertical="center" wrapText="1"/>
    </xf>
    <xf numFmtId="2" fontId="0" fillId="0" borderId="15" xfId="0" applyNumberFormat="1" applyBorder="1" applyAlignment="1">
      <alignment horizontal="center" vertical="center" wrapText="1"/>
    </xf>
    <xf numFmtId="2" fontId="0" fillId="0" borderId="16" xfId="0" applyNumberFormat="1" applyBorder="1" applyAlignment="1">
      <alignment horizontal="center" vertical="center" wrapText="1"/>
    </xf>
    <xf numFmtId="2" fontId="0" fillId="0" borderId="17" xfId="0" applyNumberFormat="1" applyBorder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2" fontId="0" fillId="0" borderId="18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14" xfId="0" applyNumberFormat="1" applyBorder="1" applyAlignment="1">
      <alignment horizontal="center" vertical="center" wrapText="1"/>
    </xf>
    <xf numFmtId="180" fontId="0" fillId="0" borderId="14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2" fontId="24" fillId="0" borderId="63" xfId="0" applyNumberFormat="1" applyFont="1" applyBorder="1" applyAlignment="1">
      <alignment vertical="center" wrapText="1"/>
    </xf>
    <xf numFmtId="2" fontId="24" fillId="0" borderId="64" xfId="0" applyNumberFormat="1" applyFont="1" applyBorder="1" applyAlignment="1">
      <alignment vertical="center" wrapText="1"/>
    </xf>
    <xf numFmtId="0" fontId="0" fillId="0" borderId="6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7" borderId="23" xfId="0" applyFill="1" applyBorder="1" applyAlignment="1" applyProtection="1">
      <alignment horizontal="center" vertical="center" wrapText="1"/>
      <protection locked="0"/>
    </xf>
    <xf numFmtId="0" fontId="0" fillId="7" borderId="63" xfId="0" applyFill="1" applyBorder="1" applyAlignment="1" applyProtection="1">
      <alignment horizontal="center" vertical="center" wrapText="1"/>
      <protection locked="0"/>
    </xf>
    <xf numFmtId="0" fontId="0" fillId="7" borderId="52" xfId="0" applyFill="1" applyBorder="1" applyAlignment="1" applyProtection="1">
      <alignment horizontal="center" vertical="center" wrapText="1"/>
      <protection locked="0"/>
    </xf>
    <xf numFmtId="0" fontId="0" fillId="7" borderId="24" xfId="0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center"/>
    </xf>
    <xf numFmtId="181" fontId="0" fillId="0" borderId="0" xfId="0" applyNumberFormat="1" applyAlignment="1" applyProtection="1">
      <alignment horizontal="center" wrapText="1"/>
      <protection locked="0"/>
    </xf>
    <xf numFmtId="181" fontId="0" fillId="8" borderId="2" xfId="0" applyNumberFormat="1" applyFill="1" applyBorder="1" applyAlignment="1">
      <alignment horizontal="center" vertical="center" wrapText="1"/>
    </xf>
    <xf numFmtId="181" fontId="0" fillId="8" borderId="0" xfId="0" applyNumberFormat="1" applyFill="1" applyBorder="1" applyAlignment="1">
      <alignment horizontal="center" vertical="center" wrapText="1"/>
    </xf>
    <xf numFmtId="181" fontId="24" fillId="7" borderId="5" xfId="0" applyNumberFormat="1" applyFont="1" applyFill="1" applyBorder="1" applyAlignment="1">
      <alignment horizontal="center" wrapText="1"/>
    </xf>
    <xf numFmtId="181" fontId="24" fillId="7" borderId="7" xfId="0" applyNumberFormat="1" applyFont="1" applyFill="1" applyBorder="1" applyAlignment="1">
      <alignment horizontal="center" wrapText="1"/>
    </xf>
    <xf numFmtId="181" fontId="0" fillId="0" borderId="1" xfId="0" applyNumberFormat="1" applyBorder="1" applyAlignment="1">
      <alignment horizontal="center" wrapText="1"/>
    </xf>
    <xf numFmtId="181" fontId="0" fillId="8" borderId="1" xfId="0" applyNumberFormat="1" applyFill="1" applyBorder="1" applyAlignment="1">
      <alignment horizontal="center" wrapText="1"/>
    </xf>
    <xf numFmtId="0" fontId="2" fillId="8" borderId="0" xfId="0" applyNumberFormat="1" applyFont="1" applyFill="1" applyBorder="1" applyAlignment="1">
      <alignment horizontal="center"/>
    </xf>
    <xf numFmtId="0" fontId="3" fillId="8" borderId="66" xfId="0" applyFont="1" applyFill="1" applyBorder="1" applyAlignment="1">
      <alignment horizontal="center"/>
    </xf>
    <xf numFmtId="0" fontId="15" fillId="0" borderId="0" xfId="3" applyFont="1" applyBorder="1" applyAlignment="1" applyProtection="1">
      <alignment horizontal="center" wrapText="1"/>
      <protection locked="0"/>
    </xf>
    <xf numFmtId="0" fontId="14" fillId="0" borderId="0" xfId="3" applyFont="1" applyAlignment="1" applyProtection="1">
      <alignment horizontal="center" wrapText="1"/>
      <protection locked="0"/>
    </xf>
    <xf numFmtId="0" fontId="14" fillId="0" borderId="72" xfId="3" applyFont="1" applyBorder="1" applyAlignment="1">
      <alignment horizontal="right" wrapText="1"/>
    </xf>
    <xf numFmtId="0" fontId="14" fillId="0" borderId="73" xfId="3" applyFont="1" applyBorder="1" applyAlignment="1">
      <alignment horizontal="right" wrapText="1"/>
    </xf>
    <xf numFmtId="0" fontId="14" fillId="0" borderId="15" xfId="3" applyFont="1" applyBorder="1" applyAlignment="1">
      <alignment horizontal="right" wrapText="1"/>
    </xf>
    <xf numFmtId="0" fontId="25" fillId="8" borderId="0" xfId="3" applyFont="1" applyFill="1" applyBorder="1" applyAlignment="1">
      <alignment horizontal="center" wrapText="1"/>
    </xf>
    <xf numFmtId="0" fontId="6" fillId="0" borderId="53" xfId="3" applyFont="1" applyBorder="1" applyAlignment="1">
      <alignment horizontal="center" vertical="center" wrapText="1"/>
    </xf>
    <xf numFmtId="0" fontId="6" fillId="0" borderId="54" xfId="3" applyFont="1" applyBorder="1" applyAlignment="1">
      <alignment horizontal="center" vertical="center" wrapText="1"/>
    </xf>
    <xf numFmtId="0" fontId="6" fillId="0" borderId="32" xfId="3" applyFont="1" applyBorder="1" applyAlignment="1">
      <alignment horizontal="center" vertical="center" wrapText="1"/>
    </xf>
    <xf numFmtId="0" fontId="6" fillId="8" borderId="53" xfId="3" applyFont="1" applyFill="1" applyBorder="1" applyAlignment="1">
      <alignment horizontal="center" vertical="center" wrapText="1"/>
    </xf>
    <xf numFmtId="0" fontId="6" fillId="8" borderId="54" xfId="3" applyFont="1" applyFill="1" applyBorder="1" applyAlignment="1">
      <alignment horizontal="center" vertical="center" wrapText="1"/>
    </xf>
    <xf numFmtId="0" fontId="6" fillId="8" borderId="32" xfId="3" applyFont="1" applyFill="1" applyBorder="1" applyAlignment="1">
      <alignment horizontal="center" vertical="center" wrapText="1"/>
    </xf>
    <xf numFmtId="0" fontId="16" fillId="0" borderId="0" xfId="3" applyFont="1" applyAlignment="1">
      <alignment horizontal="center" vertical="center" wrapText="1"/>
    </xf>
    <xf numFmtId="0" fontId="14" fillId="0" borderId="0" xfId="3" applyFont="1" applyAlignment="1">
      <alignment horizontal="center" vertical="center" wrapText="1"/>
    </xf>
    <xf numFmtId="0" fontId="6" fillId="0" borderId="0" xfId="3" applyFont="1" applyBorder="1" applyAlignment="1">
      <alignment horizontal="center" vertical="center"/>
    </xf>
    <xf numFmtId="2" fontId="16" fillId="0" borderId="0" xfId="3" applyNumberFormat="1" applyFont="1" applyFill="1" applyAlignment="1">
      <alignment horizontal="center" wrapText="1"/>
    </xf>
    <xf numFmtId="0" fontId="16" fillId="0" borderId="0" xfId="3" applyNumberFormat="1" applyFont="1" applyFill="1" applyAlignment="1">
      <alignment horizontal="center" wrapText="1"/>
    </xf>
    <xf numFmtId="0" fontId="14" fillId="0" borderId="52" xfId="3" applyFont="1" applyBorder="1" applyAlignment="1">
      <alignment horizontal="right" vertical="center" wrapText="1"/>
    </xf>
    <xf numFmtId="0" fontId="14" fillId="0" borderId="1" xfId="3" applyFont="1" applyBorder="1" applyAlignment="1">
      <alignment horizontal="right" vertical="center" wrapText="1"/>
    </xf>
    <xf numFmtId="0" fontId="26" fillId="8" borderId="0" xfId="3" applyFont="1" applyFill="1" applyBorder="1" applyAlignment="1">
      <alignment horizontal="right" wrapText="1"/>
    </xf>
    <xf numFmtId="0" fontId="14" fillId="7" borderId="52" xfId="3" applyFont="1" applyFill="1" applyBorder="1" applyAlignment="1">
      <alignment horizontal="right" vertical="center" wrapText="1"/>
    </xf>
    <xf numFmtId="0" fontId="14" fillId="7" borderId="1" xfId="3" applyFont="1" applyFill="1" applyBorder="1" applyAlignment="1">
      <alignment horizontal="right" vertical="center" wrapText="1"/>
    </xf>
    <xf numFmtId="0" fontId="14" fillId="0" borderId="52" xfId="3" applyFont="1" applyFill="1" applyBorder="1" applyAlignment="1">
      <alignment horizontal="right" vertical="center" wrapText="1"/>
    </xf>
    <xf numFmtId="0" fontId="14" fillId="0" borderId="1" xfId="3" applyFont="1" applyFill="1" applyBorder="1" applyAlignment="1">
      <alignment horizontal="right" vertical="center" wrapText="1"/>
    </xf>
    <xf numFmtId="0" fontId="14" fillId="0" borderId="71" xfId="3" applyFont="1" applyBorder="1" applyAlignment="1">
      <alignment horizontal="right" vertical="center" wrapText="1"/>
    </xf>
    <xf numFmtId="0" fontId="14" fillId="0" borderId="67" xfId="3" applyFont="1" applyBorder="1" applyAlignment="1">
      <alignment horizontal="right" vertical="center" wrapText="1"/>
    </xf>
    <xf numFmtId="0" fontId="14" fillId="0" borderId="16" xfId="3" applyFont="1" applyBorder="1" applyAlignment="1">
      <alignment horizontal="right" vertical="center" wrapText="1"/>
    </xf>
    <xf numFmtId="0" fontId="6" fillId="8" borderId="38" xfId="3" applyFont="1" applyFill="1" applyBorder="1" applyAlignment="1">
      <alignment horizontal="center" vertical="center" wrapText="1"/>
    </xf>
    <xf numFmtId="0" fontId="6" fillId="8" borderId="0" xfId="3" applyFont="1" applyFill="1" applyBorder="1" applyAlignment="1">
      <alignment horizontal="center" vertical="center" wrapText="1"/>
    </xf>
    <xf numFmtId="2" fontId="14" fillId="0" borderId="61" xfId="3" applyNumberFormat="1" applyFont="1" applyFill="1" applyBorder="1" applyAlignment="1">
      <alignment horizontal="center" vertical="center" wrapText="1"/>
    </xf>
    <xf numFmtId="2" fontId="14" fillId="0" borderId="14" xfId="3" applyNumberFormat="1" applyFont="1" applyFill="1" applyBorder="1" applyAlignment="1">
      <alignment horizontal="center" vertical="center" wrapText="1"/>
    </xf>
    <xf numFmtId="2" fontId="14" fillId="0" borderId="53" xfId="3" applyNumberFormat="1" applyFont="1" applyBorder="1" applyAlignment="1">
      <alignment horizontal="left" vertical="center" wrapText="1"/>
    </xf>
    <xf numFmtId="2" fontId="14" fillId="0" borderId="54" xfId="3" applyNumberFormat="1" applyFont="1" applyBorder="1" applyAlignment="1">
      <alignment horizontal="left" vertical="center" wrapText="1"/>
    </xf>
    <xf numFmtId="2" fontId="14" fillId="0" borderId="32" xfId="3" applyNumberFormat="1" applyFont="1" applyBorder="1" applyAlignment="1">
      <alignment horizontal="left" vertical="center" wrapText="1"/>
    </xf>
    <xf numFmtId="2" fontId="14" fillId="0" borderId="50" xfId="3" applyNumberFormat="1" applyFont="1" applyFill="1" applyBorder="1" applyAlignment="1">
      <alignment horizontal="center" vertical="center" wrapText="1"/>
    </xf>
    <xf numFmtId="2" fontId="14" fillId="0" borderId="16" xfId="3" applyNumberFormat="1" applyFont="1" applyFill="1" applyBorder="1" applyAlignment="1">
      <alignment horizontal="center" vertical="center" wrapText="1"/>
    </xf>
    <xf numFmtId="180" fontId="14" fillId="0" borderId="40" xfId="3" applyNumberFormat="1" applyFont="1" applyBorder="1" applyAlignment="1">
      <alignment horizontal="center" vertical="center" wrapText="1"/>
    </xf>
    <xf numFmtId="180" fontId="14" fillId="0" borderId="29" xfId="3" applyNumberFormat="1" applyFont="1" applyBorder="1" applyAlignment="1">
      <alignment horizontal="center" vertical="center" wrapText="1"/>
    </xf>
    <xf numFmtId="180" fontId="14" fillId="0" borderId="33" xfId="3" applyNumberFormat="1" applyFont="1" applyBorder="1" applyAlignment="1">
      <alignment horizontal="center" vertical="center" wrapText="1"/>
    </xf>
    <xf numFmtId="2" fontId="14" fillId="5" borderId="1" xfId="3" applyNumberFormat="1" applyFont="1" applyFill="1" applyBorder="1" applyAlignment="1">
      <alignment horizontal="center" vertical="center" wrapText="1"/>
    </xf>
    <xf numFmtId="2" fontId="14" fillId="5" borderId="50" xfId="3" applyNumberFormat="1" applyFont="1" applyFill="1" applyBorder="1" applyAlignment="1">
      <alignment horizontal="center" vertical="center" wrapText="1"/>
    </xf>
    <xf numFmtId="2" fontId="14" fillId="5" borderId="67" xfId="3" applyNumberFormat="1" applyFont="1" applyFill="1" applyBorder="1" applyAlignment="1">
      <alignment horizontal="center" vertical="center" wrapText="1"/>
    </xf>
    <xf numFmtId="2" fontId="14" fillId="5" borderId="18" xfId="3" applyNumberFormat="1" applyFont="1" applyFill="1" applyBorder="1" applyAlignment="1">
      <alignment horizontal="center" vertical="center" wrapText="1"/>
    </xf>
    <xf numFmtId="2" fontId="14" fillId="5" borderId="16" xfId="3" applyNumberFormat="1" applyFont="1" applyFill="1" applyBorder="1" applyAlignment="1">
      <alignment horizontal="center" vertical="center" wrapText="1"/>
    </xf>
    <xf numFmtId="0" fontId="14" fillId="8" borderId="61" xfId="3" applyFont="1" applyFill="1" applyBorder="1" applyAlignment="1">
      <alignment horizontal="center" vertical="center" wrapText="1"/>
    </xf>
    <xf numFmtId="0" fontId="14" fillId="8" borderId="14" xfId="3" applyFont="1" applyFill="1" applyBorder="1" applyAlignment="1">
      <alignment horizontal="center" vertical="center" wrapText="1"/>
    </xf>
    <xf numFmtId="0" fontId="14" fillId="8" borderId="2" xfId="3" applyFont="1" applyFill="1" applyBorder="1" applyAlignment="1">
      <alignment horizontal="center" vertical="center" wrapText="1"/>
    </xf>
    <xf numFmtId="0" fontId="14" fillId="8" borderId="3" xfId="3" applyFont="1" applyFill="1" applyBorder="1" applyAlignment="1">
      <alignment horizontal="center" vertical="center" wrapText="1"/>
    </xf>
    <xf numFmtId="0" fontId="14" fillId="8" borderId="51" xfId="3" applyFont="1" applyFill="1" applyBorder="1" applyAlignment="1">
      <alignment horizontal="center" vertical="center" wrapText="1"/>
    </xf>
    <xf numFmtId="0" fontId="14" fillId="8" borderId="18" xfId="3" applyFont="1" applyFill="1" applyBorder="1" applyAlignment="1">
      <alignment horizontal="center" vertical="center" wrapText="1"/>
    </xf>
    <xf numFmtId="0" fontId="14" fillId="0" borderId="61" xfId="3" applyFont="1" applyBorder="1" applyAlignment="1">
      <alignment horizontal="center" vertical="center" wrapText="1"/>
    </xf>
    <xf numFmtId="0" fontId="14" fillId="0" borderId="14" xfId="3" applyFont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51" xfId="3" applyFont="1" applyBorder="1" applyAlignment="1">
      <alignment horizontal="center" vertical="center" wrapText="1"/>
    </xf>
    <xf numFmtId="0" fontId="14" fillId="0" borderId="18" xfId="3" applyFont="1" applyBorder="1" applyAlignment="1">
      <alignment horizontal="center" vertical="center" wrapText="1"/>
    </xf>
    <xf numFmtId="180" fontId="14" fillId="0" borderId="5" xfId="3" applyNumberFormat="1" applyFont="1" applyBorder="1" applyAlignment="1">
      <alignment horizontal="center" vertical="center" wrapText="1"/>
    </xf>
    <xf numFmtId="180" fontId="14" fillId="0" borderId="7" xfId="3" applyNumberFormat="1" applyFont="1" applyBorder="1" applyAlignment="1">
      <alignment horizontal="center" vertical="center" wrapText="1"/>
    </xf>
    <xf numFmtId="180" fontId="14" fillId="0" borderId="4" xfId="3" applyNumberFormat="1" applyFont="1" applyBorder="1" applyAlignment="1">
      <alignment horizontal="center" vertical="center" wrapText="1"/>
    </xf>
    <xf numFmtId="0" fontId="14" fillId="0" borderId="61" xfId="3" applyFont="1" applyFill="1" applyBorder="1" applyAlignment="1">
      <alignment horizontal="center" vertical="center" wrapText="1"/>
    </xf>
    <xf numFmtId="0" fontId="14" fillId="0" borderId="14" xfId="3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14" fillId="0" borderId="51" xfId="3" applyFont="1" applyFill="1" applyBorder="1" applyAlignment="1">
      <alignment horizontal="center" vertical="center" wrapText="1"/>
    </xf>
    <xf numFmtId="0" fontId="14" fillId="0" borderId="18" xfId="3" applyFont="1" applyFill="1" applyBorder="1" applyAlignment="1">
      <alignment horizontal="center" vertical="center" wrapText="1"/>
    </xf>
    <xf numFmtId="2" fontId="6" fillId="0" borderId="0" xfId="3" applyNumberFormat="1" applyFont="1" applyAlignment="1">
      <alignment horizontal="center" wrapText="1"/>
    </xf>
    <xf numFmtId="2" fontId="14" fillId="5" borderId="5" xfId="3" applyNumberFormat="1" applyFont="1" applyFill="1" applyBorder="1" applyAlignment="1">
      <alignment horizontal="center" vertical="center" wrapText="1"/>
    </xf>
    <xf numFmtId="0" fontId="14" fillId="0" borderId="68" xfId="3" applyFont="1" applyBorder="1" applyAlignment="1">
      <alignment horizontal="right" vertical="center" wrapText="1"/>
    </xf>
    <xf numFmtId="0" fontId="14" fillId="0" borderId="69" xfId="3" applyFont="1" applyBorder="1" applyAlignment="1">
      <alignment horizontal="right" vertical="center" wrapText="1"/>
    </xf>
    <xf numFmtId="0" fontId="14" fillId="0" borderId="17" xfId="3" applyFont="1" applyBorder="1" applyAlignment="1">
      <alignment horizontal="right" vertical="center" wrapText="1"/>
    </xf>
    <xf numFmtId="0" fontId="14" fillId="0" borderId="51" xfId="3" applyFont="1" applyBorder="1" applyAlignment="1">
      <alignment horizontal="right" vertical="center" wrapText="1"/>
    </xf>
    <xf numFmtId="0" fontId="14" fillId="0" borderId="66" xfId="3" applyFont="1" applyBorder="1" applyAlignment="1">
      <alignment horizontal="right" vertical="center" wrapText="1"/>
    </xf>
    <xf numFmtId="0" fontId="14" fillId="0" borderId="18" xfId="3" applyFont="1" applyBorder="1" applyAlignment="1">
      <alignment horizontal="right" vertical="center" wrapText="1"/>
    </xf>
    <xf numFmtId="0" fontId="14" fillId="0" borderId="70" xfId="3" applyFont="1" applyFill="1" applyBorder="1" applyAlignment="1">
      <alignment horizontal="center" vertical="center" wrapText="1"/>
    </xf>
    <xf numFmtId="180" fontId="14" fillId="0" borderId="14" xfId="3" applyNumberFormat="1" applyFont="1" applyBorder="1" applyAlignment="1">
      <alignment horizontal="center" vertical="center" wrapText="1"/>
    </xf>
    <xf numFmtId="0" fontId="14" fillId="0" borderId="70" xfId="3" applyFont="1" applyBorder="1" applyAlignment="1">
      <alignment horizontal="center" vertical="center" wrapText="1"/>
    </xf>
    <xf numFmtId="0" fontId="14" fillId="8" borderId="70" xfId="3" applyFont="1" applyFill="1" applyBorder="1" applyAlignment="1">
      <alignment horizontal="center" vertical="center" wrapText="1"/>
    </xf>
    <xf numFmtId="0" fontId="6" fillId="8" borderId="0" xfId="3" applyFont="1" applyFill="1" applyAlignment="1">
      <alignment horizontal="center" vertical="center" wrapText="1"/>
    </xf>
    <xf numFmtId="0" fontId="6" fillId="8" borderId="0" xfId="3" applyFont="1" applyFill="1" applyAlignment="1">
      <alignment horizontal="center" vertical="center"/>
    </xf>
    <xf numFmtId="0" fontId="0" fillId="0" borderId="40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53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8" borderId="38" xfId="0" applyFill="1" applyBorder="1" applyAlignment="1">
      <alignment horizontal="center" wrapText="1"/>
    </xf>
    <xf numFmtId="0" fontId="0" fillId="8" borderId="0" xfId="0" applyFill="1" applyAlignment="1">
      <alignment horizontal="center"/>
    </xf>
    <xf numFmtId="0" fontId="0" fillId="8" borderId="38" xfId="0" applyFill="1" applyBorder="1" applyAlignment="1">
      <alignment horizontal="center"/>
    </xf>
    <xf numFmtId="0" fontId="0" fillId="8" borderId="38" xfId="0" applyFill="1" applyBorder="1" applyAlignment="1">
      <alignment horizontal="center" vertical="center" wrapText="1"/>
    </xf>
    <xf numFmtId="0" fontId="0" fillId="8" borderId="0" xfId="0" applyFill="1" applyAlignment="1">
      <alignment horizontal="center" vertical="center" wrapText="1"/>
    </xf>
    <xf numFmtId="0" fontId="0" fillId="8" borderId="0" xfId="0" applyFill="1" applyBorder="1" applyAlignment="1">
      <alignment horizontal="center" wrapText="1"/>
    </xf>
    <xf numFmtId="0" fontId="0" fillId="8" borderId="38" xfId="0" applyFill="1" applyBorder="1" applyAlignment="1">
      <alignment horizontal="center" vertical="top" wrapText="1"/>
    </xf>
    <xf numFmtId="0" fontId="0" fillId="8" borderId="0" xfId="0" applyFill="1" applyAlignment="1">
      <alignment horizontal="center" vertical="top" wrapText="1"/>
    </xf>
    <xf numFmtId="49" fontId="0" fillId="0" borderId="37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0" fillId="8" borderId="0" xfId="0" applyFill="1" applyAlignment="1">
      <alignment horizontal="center" wrapText="1"/>
    </xf>
    <xf numFmtId="0" fontId="0" fillId="8" borderId="0" xfId="0" applyFill="1" applyBorder="1" applyAlignment="1">
      <alignment horizontal="center" vertical="center" wrapText="1"/>
    </xf>
    <xf numFmtId="0" fontId="0" fillId="0" borderId="30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29" fillId="0" borderId="39" xfId="0" applyFont="1" applyBorder="1" applyAlignment="1">
      <alignment horizontal="center" vertical="center" wrapText="1"/>
    </xf>
    <xf numFmtId="0" fontId="29" fillId="0" borderId="42" xfId="0" applyFont="1" applyBorder="1" applyAlignment="1">
      <alignment horizontal="center" vertical="center" wrapText="1"/>
    </xf>
    <xf numFmtId="0" fontId="30" fillId="0" borderId="40" xfId="0" applyFont="1" applyBorder="1" applyAlignment="1">
      <alignment horizontal="center" vertical="center" wrapText="1"/>
    </xf>
    <xf numFmtId="0" fontId="30" fillId="0" borderId="33" xfId="0" applyFont="1" applyBorder="1" applyAlignment="1">
      <alignment horizontal="center" vertical="center" wrapText="1"/>
    </xf>
    <xf numFmtId="0" fontId="0" fillId="0" borderId="36" xfId="0" applyBorder="1" applyAlignment="1">
      <alignment vertical="top" wrapText="1"/>
    </xf>
    <xf numFmtId="0" fontId="0" fillId="0" borderId="34" xfId="0" applyBorder="1" applyAlignment="1">
      <alignment vertical="top" wrapText="1"/>
    </xf>
    <xf numFmtId="0" fontId="29" fillId="0" borderId="38" xfId="0" applyFont="1" applyBorder="1" applyAlignment="1">
      <alignment horizontal="center" vertical="center" wrapText="1"/>
    </xf>
    <xf numFmtId="0" fontId="29" fillId="0" borderId="35" xfId="0" applyFont="1" applyBorder="1" applyAlignment="1">
      <alignment horizontal="center" vertical="center" wrapText="1"/>
    </xf>
    <xf numFmtId="0" fontId="0" fillId="0" borderId="38" xfId="0" applyBorder="1" applyAlignment="1">
      <alignment vertical="top" wrapText="1"/>
    </xf>
    <xf numFmtId="0" fontId="0" fillId="0" borderId="35" xfId="0" applyBorder="1" applyAlignment="1">
      <alignment vertical="top" wrapText="1"/>
    </xf>
    <xf numFmtId="0" fontId="29" fillId="0" borderId="53" xfId="0" applyFont="1" applyBorder="1" applyAlignment="1">
      <alignment horizontal="center" vertical="center" wrapText="1"/>
    </xf>
    <xf numFmtId="0" fontId="29" fillId="0" borderId="54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0" fillId="0" borderId="37" xfId="0" applyBorder="1" applyAlignment="1">
      <alignment horizontal="left" wrapText="1"/>
    </xf>
    <xf numFmtId="0" fontId="0" fillId="0" borderId="34" xfId="0" applyBorder="1" applyAlignment="1">
      <alignment horizontal="left" wrapText="1"/>
    </xf>
    <xf numFmtId="0" fontId="0" fillId="0" borderId="41" xfId="0" applyBorder="1" applyAlignment="1">
      <alignment horizontal="center" wrapText="1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30" fillId="0" borderId="53" xfId="0" applyFont="1" applyBorder="1" applyAlignment="1">
      <alignment horizontal="center" vertical="center" wrapText="1"/>
    </xf>
    <xf numFmtId="0" fontId="30" fillId="0" borderId="54" xfId="0" applyFont="1" applyBorder="1" applyAlignment="1">
      <alignment horizontal="center" vertical="center" wrapText="1"/>
    </xf>
    <xf numFmtId="0" fontId="30" fillId="0" borderId="3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3" fillId="0" borderId="38" xfId="0" applyFont="1" applyBorder="1" applyAlignment="1">
      <alignment horizontal="center" vertical="center" wrapText="1"/>
    </xf>
    <xf numFmtId="0" fontId="33" fillId="0" borderId="35" xfId="0" applyFont="1" applyBorder="1" applyAlignment="1">
      <alignment horizontal="center" vertical="center" wrapText="1"/>
    </xf>
    <xf numFmtId="0" fontId="40" fillId="0" borderId="38" xfId="0" applyFont="1" applyBorder="1" applyAlignment="1">
      <alignment horizontal="center" vertical="center" wrapText="1"/>
    </xf>
    <xf numFmtId="0" fontId="40" fillId="0" borderId="35" xfId="0" applyFont="1" applyBorder="1" applyAlignment="1">
      <alignment horizontal="center" vertical="center" wrapText="1"/>
    </xf>
    <xf numFmtId="0" fontId="40" fillId="0" borderId="53" xfId="0" applyFont="1" applyBorder="1" applyAlignment="1">
      <alignment horizontal="center" vertical="center" wrapText="1"/>
    </xf>
    <xf numFmtId="0" fontId="40" fillId="0" borderId="54" xfId="0" applyFont="1" applyBorder="1" applyAlignment="1">
      <alignment horizontal="center" vertical="center" wrapText="1"/>
    </xf>
    <xf numFmtId="0" fontId="40" fillId="0" borderId="32" xfId="0" applyFont="1" applyBorder="1" applyAlignment="1">
      <alignment horizontal="center" vertical="center" wrapText="1"/>
    </xf>
    <xf numFmtId="0" fontId="29" fillId="0" borderId="40" xfId="0" applyFont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40" fillId="0" borderId="39" xfId="0" applyFont="1" applyBorder="1" applyAlignment="1">
      <alignment horizontal="center" vertical="center" wrapText="1"/>
    </xf>
    <xf numFmtId="0" fontId="40" fillId="0" borderId="42" xfId="0" applyFont="1" applyBorder="1" applyAlignment="1">
      <alignment horizontal="center" vertical="center" wrapText="1"/>
    </xf>
    <xf numFmtId="0" fontId="40" fillId="0" borderId="36" xfId="0" applyFont="1" applyBorder="1" applyAlignment="1">
      <alignment horizontal="center" vertical="center" wrapText="1"/>
    </xf>
    <xf numFmtId="0" fontId="40" fillId="0" borderId="34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0" fontId="32" fillId="0" borderId="54" xfId="0" applyFont="1" applyBorder="1" applyAlignment="1">
      <alignment horizontal="center" vertical="center" wrapText="1"/>
    </xf>
    <xf numFmtId="0" fontId="32" fillId="0" borderId="32" xfId="0" applyFont="1" applyBorder="1" applyAlignment="1">
      <alignment horizontal="center" vertical="center" wrapText="1"/>
    </xf>
    <xf numFmtId="0" fontId="40" fillId="0" borderId="41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0" fillId="0" borderId="37" xfId="0" applyFont="1" applyBorder="1" applyAlignment="1">
      <alignment horizontal="center" vertical="center" wrapText="1"/>
    </xf>
    <xf numFmtId="0" fontId="0" fillId="0" borderId="37" xfId="0" applyBorder="1" applyAlignment="1">
      <alignment vertical="top" wrapText="1"/>
    </xf>
    <xf numFmtId="0" fontId="40" fillId="0" borderId="0" xfId="0" applyFont="1" applyBorder="1" applyAlignment="1">
      <alignment horizontal="center" vertical="center" wrapText="1"/>
    </xf>
    <xf numFmtId="0" fontId="55" fillId="8" borderId="57" xfId="0" applyFont="1" applyFill="1" applyBorder="1" applyAlignment="1">
      <alignment vertical="center" wrapText="1"/>
    </xf>
    <xf numFmtId="0" fontId="55" fillId="8" borderId="58" xfId="0" applyFont="1" applyFill="1" applyBorder="1" applyAlignment="1">
      <alignment vertical="center" wrapText="1"/>
    </xf>
    <xf numFmtId="0" fontId="55" fillId="8" borderId="59" xfId="0" applyFont="1" applyFill="1" applyBorder="1" applyAlignment="1">
      <alignment vertical="center" wrapText="1"/>
    </xf>
    <xf numFmtId="0" fontId="40" fillId="0" borderId="38" xfId="0" applyFont="1" applyBorder="1" applyAlignment="1">
      <alignment vertical="center" wrapText="1"/>
    </xf>
    <xf numFmtId="0" fontId="50" fillId="8" borderId="74" xfId="0" applyFont="1" applyFill="1" applyBorder="1" applyAlignment="1">
      <alignment horizontal="center" vertical="center" wrapText="1"/>
    </xf>
    <xf numFmtId="0" fontId="50" fillId="8" borderId="75" xfId="0" applyFont="1" applyFill="1" applyBorder="1" applyAlignment="1">
      <alignment horizontal="center" vertical="center" wrapText="1"/>
    </xf>
    <xf numFmtId="0" fontId="50" fillId="8" borderId="49" xfId="0" applyFont="1" applyFill="1" applyBorder="1" applyAlignment="1">
      <alignment horizontal="center" vertical="center" wrapText="1"/>
    </xf>
    <xf numFmtId="0" fontId="50" fillId="8" borderId="57" xfId="0" applyFont="1" applyFill="1" applyBorder="1" applyAlignment="1">
      <alignment horizontal="center" vertical="center" wrapText="1"/>
    </xf>
    <xf numFmtId="0" fontId="50" fillId="8" borderId="58" xfId="0" applyFont="1" applyFill="1" applyBorder="1" applyAlignment="1">
      <alignment horizontal="center" vertical="center" wrapText="1"/>
    </xf>
    <xf numFmtId="0" fontId="50" fillId="8" borderId="59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Процентный" xfId="5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</xdr:row>
          <xdr:rowOff>0</xdr:rowOff>
        </xdr:from>
        <xdr:to>
          <xdr:col>3</xdr:col>
          <xdr:colOff>161925</xdr:colOff>
          <xdr:row>5</xdr:row>
          <xdr:rowOff>28575</xdr:rowOff>
        </xdr:to>
        <xdr:sp macro="" textlink="">
          <xdr:nvSpPr>
            <xdr:cNvPr id="8199" name="Object 7" hidden="1">
              <a:extLst>
                <a:ext uri="{63B3BB69-23CF-44E3-9099-C40C66FF867C}">
                  <a14:compatExt spid="_x0000_s8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4</xdr:row>
          <xdr:rowOff>0</xdr:rowOff>
        </xdr:from>
        <xdr:to>
          <xdr:col>5</xdr:col>
          <xdr:colOff>180975</xdr:colOff>
          <xdr:row>5</xdr:row>
          <xdr:rowOff>28575</xdr:rowOff>
        </xdr:to>
        <xdr:sp macro="" textlink="">
          <xdr:nvSpPr>
            <xdr:cNvPr id="8200" name="Object 8" hidden="1">
              <a:extLst>
                <a:ext uri="{63B3BB69-23CF-44E3-9099-C40C66FF867C}">
                  <a14:compatExt spid="_x0000_s8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5</xdr:row>
          <xdr:rowOff>0</xdr:rowOff>
        </xdr:from>
        <xdr:to>
          <xdr:col>12</xdr:col>
          <xdr:colOff>123825</xdr:colOff>
          <xdr:row>5</xdr:row>
          <xdr:rowOff>161925</xdr:rowOff>
        </xdr:to>
        <xdr:sp macro="" textlink="">
          <xdr:nvSpPr>
            <xdr:cNvPr id="8201" name="Object 9" hidden="1">
              <a:extLst>
                <a:ext uri="{63B3BB69-23CF-44E3-9099-C40C66FF867C}">
                  <a14:compatExt spid="_x0000_s8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76200</xdr:colOff>
          <xdr:row>179</xdr:row>
          <xdr:rowOff>0</xdr:rowOff>
        </xdr:from>
        <xdr:to>
          <xdr:col>4</xdr:col>
          <xdr:colOff>85725</xdr:colOff>
          <xdr:row>179</xdr:row>
          <xdr:rowOff>304800</xdr:rowOff>
        </xdr:to>
        <xdr:sp macro="" textlink="">
          <xdr:nvSpPr>
            <xdr:cNvPr id="8203" name="Object 11" hidden="1">
              <a:extLst>
                <a:ext uri="{63B3BB69-23CF-44E3-9099-C40C66FF867C}">
                  <a14:compatExt spid="_x0000_s8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180</xdr:row>
          <xdr:rowOff>47625</xdr:rowOff>
        </xdr:from>
        <xdr:to>
          <xdr:col>3</xdr:col>
          <xdr:colOff>581025</xdr:colOff>
          <xdr:row>181</xdr:row>
          <xdr:rowOff>47625</xdr:rowOff>
        </xdr:to>
        <xdr:sp macro="" textlink="">
          <xdr:nvSpPr>
            <xdr:cNvPr id="8202" name="Object 10" hidden="1">
              <a:extLst>
                <a:ext uri="{63B3BB69-23CF-44E3-9099-C40C66FF867C}">
                  <a14:compatExt spid="_x0000_s8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w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wmf"/><Relationship Id="rId5" Type="http://schemas.openxmlformats.org/officeDocument/2006/relationships/image" Target="../media/image1.w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1"/>
  <sheetViews>
    <sheetView topLeftCell="A16" workbookViewId="0">
      <selection activeCell="I61" sqref="I61"/>
    </sheetView>
  </sheetViews>
  <sheetFormatPr defaultRowHeight="15" x14ac:dyDescent="0.25"/>
  <cols>
    <col min="1" max="1" width="20.7109375" style="16" customWidth="1"/>
    <col min="2" max="2" width="17.85546875" style="16" customWidth="1"/>
    <col min="3" max="3" width="16.28515625" style="16" customWidth="1"/>
    <col min="4" max="4" width="13.140625" style="16" hidden="1" customWidth="1"/>
    <col min="5" max="5" width="14.28515625" style="16" customWidth="1"/>
    <col min="6" max="6" width="16.42578125" style="16" customWidth="1"/>
    <col min="7" max="7" width="13.5703125" style="16" hidden="1" customWidth="1"/>
    <col min="8" max="8" width="16.42578125" style="16" customWidth="1"/>
    <col min="9" max="9" width="17.42578125" style="16" customWidth="1"/>
    <col min="10" max="10" width="27" style="16" customWidth="1"/>
    <col min="11" max="15" width="9.140625" style="16"/>
    <col min="16" max="16384" width="9.140625" style="17"/>
  </cols>
  <sheetData>
    <row r="1" spans="1:29" s="11" customFormat="1" ht="18.75" x14ac:dyDescent="0.3">
      <c r="A1" s="452" t="s">
        <v>166</v>
      </c>
      <c r="B1" s="452"/>
      <c r="C1" s="452"/>
      <c r="D1" s="452"/>
      <c r="E1" s="452"/>
      <c r="F1" s="452"/>
      <c r="G1" s="452"/>
      <c r="H1" s="452"/>
      <c r="I1" s="452"/>
      <c r="J1" s="290"/>
      <c r="K1" s="290"/>
      <c r="L1" s="290"/>
      <c r="M1" s="290"/>
      <c r="N1" s="290"/>
      <c r="O1" s="290"/>
      <c r="P1" s="290"/>
      <c r="Q1" s="290"/>
      <c r="R1" s="290"/>
      <c r="S1" s="290"/>
      <c r="T1" s="290"/>
      <c r="U1" s="290"/>
      <c r="V1" s="290"/>
      <c r="W1" s="290"/>
      <c r="X1" s="290"/>
      <c r="Y1" s="290"/>
      <c r="Z1" s="290"/>
      <c r="AA1" s="12"/>
      <c r="AB1" s="291"/>
      <c r="AC1" s="291"/>
    </row>
    <row r="2" spans="1:29" ht="30" customHeight="1" x14ac:dyDescent="0.25">
      <c r="A2" s="453" t="s">
        <v>483</v>
      </c>
      <c r="B2" s="453"/>
      <c r="C2" s="453"/>
      <c r="D2" s="453"/>
      <c r="E2" s="453"/>
      <c r="F2" s="453"/>
      <c r="G2" s="453"/>
      <c r="H2" s="453"/>
      <c r="I2" s="453"/>
    </row>
    <row r="3" spans="1:29" s="12" customFormat="1" ht="18.75" x14ac:dyDescent="0.3">
      <c r="A3" s="70"/>
      <c r="C3" s="460"/>
      <c r="D3" s="460"/>
      <c r="E3" s="1"/>
      <c r="F3" s="461"/>
      <c r="G3" s="461"/>
      <c r="H3" s="461"/>
      <c r="J3" s="2"/>
      <c r="K3" s="2"/>
      <c r="L3" s="2"/>
      <c r="M3" s="2"/>
      <c r="N3" s="2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29" ht="28.5" customHeight="1" x14ac:dyDescent="0.25">
      <c r="B4" s="15"/>
      <c r="C4" s="458" t="s">
        <v>81</v>
      </c>
      <c r="D4" s="458"/>
      <c r="E4" s="458"/>
      <c r="F4" s="459" t="s">
        <v>80</v>
      </c>
      <c r="G4" s="459"/>
      <c r="H4" s="459"/>
    </row>
    <row r="5" spans="1:29" ht="57" customHeight="1" x14ac:dyDescent="0.25">
      <c r="A5" s="15"/>
      <c r="B5" s="15" t="s">
        <v>2</v>
      </c>
      <c r="C5" s="15" t="s">
        <v>455</v>
      </c>
      <c r="D5" s="15" t="s">
        <v>19</v>
      </c>
      <c r="E5" s="15" t="s">
        <v>78</v>
      </c>
      <c r="F5" s="15" t="s">
        <v>18</v>
      </c>
      <c r="G5" s="15" t="s">
        <v>19</v>
      </c>
      <c r="H5" s="15" t="s">
        <v>78</v>
      </c>
    </row>
    <row r="6" spans="1:29" s="20" customFormat="1" ht="30" x14ac:dyDescent="0.25">
      <c r="A6" s="15" t="s">
        <v>79</v>
      </c>
      <c r="B6" s="366">
        <v>-20</v>
      </c>
      <c r="C6" s="71">
        <v>0</v>
      </c>
      <c r="D6" s="328"/>
      <c r="E6" s="328">
        <v>0</v>
      </c>
      <c r="F6" s="328">
        <v>105</v>
      </c>
      <c r="G6" s="328"/>
      <c r="H6" s="328">
        <v>70</v>
      </c>
      <c r="I6" s="16"/>
      <c r="J6" s="16"/>
      <c r="K6" s="19"/>
      <c r="L6" s="19"/>
      <c r="M6" s="19"/>
      <c r="N6" s="365"/>
      <c r="O6" s="19"/>
    </row>
    <row r="7" spans="1:29" x14ac:dyDescent="0.25">
      <c r="A7" s="18"/>
      <c r="B7" s="15">
        <f>B6+1</f>
        <v>-19</v>
      </c>
      <c r="C7" s="69">
        <v>0</v>
      </c>
      <c r="D7" s="15"/>
      <c r="E7" s="22">
        <f>C7-($C$6-$E$6)*(18-B7)/(18-$B$6)</f>
        <v>0</v>
      </c>
      <c r="F7" s="21">
        <f>POWER((18-B7)/(18-$B$6),0.8)*(0.5*$G$6+0.5*$H$6-18)+18+($F$6-0.5*$G$6-0.5*$H$6)*(18-B7)/(18-$B$6)</f>
        <v>102.79904811180958</v>
      </c>
      <c r="G7" s="15"/>
      <c r="H7" s="22">
        <f>F7-($F$6-$H$6)*(18-B7)/(18-$B$6)</f>
        <v>68.720100743388528</v>
      </c>
    </row>
    <row r="8" spans="1:29" x14ac:dyDescent="0.25">
      <c r="A8" s="15"/>
      <c r="B8" s="15">
        <f t="shared" ref="B8:B42" si="0">B7+1</f>
        <v>-18</v>
      </c>
      <c r="C8" s="69">
        <v>0</v>
      </c>
      <c r="D8" s="15"/>
      <c r="E8" s="22">
        <f t="shared" ref="E8:E41" si="1">C8-($C$6-$E$6)*(18-B8)/(18-$B$6)</f>
        <v>0</v>
      </c>
      <c r="F8" s="21">
        <f t="shared" ref="F8:F42" si="2">POWER((18-B8)/(18-$B$6),0.8)*(0.5*$G$6+0.5*$H$6-18)+18+($F$6-0.5*$G$6-0.5*$H$6)*(18-B8)/(18-$B$6)</f>
        <v>100.59615099895828</v>
      </c>
      <c r="G8" s="15"/>
      <c r="H8" s="22">
        <f t="shared" ref="H8:H42" si="3">F8-($F$6-$H$6)*(18-B8)/(18-$B$6)</f>
        <v>67.43825626211617</v>
      </c>
    </row>
    <row r="9" spans="1:29" x14ac:dyDescent="0.25">
      <c r="A9" s="15"/>
      <c r="B9" s="15">
        <f t="shared" si="0"/>
        <v>-17</v>
      </c>
      <c r="C9" s="69">
        <v>0</v>
      </c>
      <c r="D9" s="15"/>
      <c r="E9" s="22">
        <f>C9-($C$6-$E$6)*(18-B9)/(18-$B$6)</f>
        <v>0</v>
      </c>
      <c r="F9" s="21">
        <f t="shared" si="2"/>
        <v>98.391243623622714</v>
      </c>
      <c r="G9" s="15"/>
      <c r="H9" s="22">
        <f t="shared" si="3"/>
        <v>66.154401518359549</v>
      </c>
    </row>
    <row r="10" spans="1:29" x14ac:dyDescent="0.25">
      <c r="A10" s="15"/>
      <c r="B10" s="15">
        <f t="shared" si="0"/>
        <v>-16</v>
      </c>
      <c r="C10" s="69">
        <v>0</v>
      </c>
      <c r="D10" s="15"/>
      <c r="E10" s="22">
        <f t="shared" si="1"/>
        <v>0</v>
      </c>
      <c r="F10" s="21">
        <f t="shared" si="2"/>
        <v>96.184256846605805</v>
      </c>
      <c r="G10" s="15"/>
      <c r="H10" s="22">
        <f t="shared" si="3"/>
        <v>64.8684673729216</v>
      </c>
    </row>
    <row r="11" spans="1:29" x14ac:dyDescent="0.25">
      <c r="A11" s="15"/>
      <c r="B11" s="15">
        <f t="shared" si="0"/>
        <v>-15</v>
      </c>
      <c r="C11" s="69">
        <v>0</v>
      </c>
      <c r="D11" s="15"/>
      <c r="E11" s="22">
        <f t="shared" si="1"/>
        <v>0</v>
      </c>
      <c r="F11" s="21">
        <f t="shared" si="2"/>
        <v>93.975117039983502</v>
      </c>
      <c r="G11" s="15"/>
      <c r="H11" s="22">
        <f t="shared" si="3"/>
        <v>63.580380197878242</v>
      </c>
    </row>
    <row r="12" spans="1:29" x14ac:dyDescent="0.25">
      <c r="A12" s="15"/>
      <c r="B12" s="15">
        <f t="shared" si="0"/>
        <v>-14</v>
      </c>
      <c r="C12" s="69">
        <v>0</v>
      </c>
      <c r="D12" s="15"/>
      <c r="E12" s="22">
        <f t="shared" si="1"/>
        <v>0</v>
      </c>
      <c r="F12" s="21">
        <f t="shared" si="2"/>
        <v>91.76374565026839</v>
      </c>
      <c r="G12" s="15"/>
      <c r="H12" s="22">
        <f t="shared" si="3"/>
        <v>62.290061439742075</v>
      </c>
    </row>
    <row r="13" spans="1:29" x14ac:dyDescent="0.25">
      <c r="A13" s="15"/>
      <c r="B13" s="15">
        <f t="shared" si="0"/>
        <v>-13</v>
      </c>
      <c r="C13" s="69">
        <v>0</v>
      </c>
      <c r="D13" s="15"/>
      <c r="E13" s="22">
        <f t="shared" si="1"/>
        <v>0</v>
      </c>
      <c r="F13" s="21">
        <f t="shared" si="2"/>
        <v>89.550058704017573</v>
      </c>
      <c r="G13" s="15"/>
      <c r="H13" s="22">
        <f t="shared" si="3"/>
        <v>60.997427125070203</v>
      </c>
    </row>
    <row r="14" spans="1:29" x14ac:dyDescent="0.25">
      <c r="A14" s="15"/>
      <c r="B14" s="15">
        <f t="shared" si="0"/>
        <v>-12</v>
      </c>
      <c r="C14" s="69">
        <v>0</v>
      </c>
      <c r="D14" s="15"/>
      <c r="E14" s="22">
        <f t="shared" si="1"/>
        <v>0</v>
      </c>
      <c r="F14" s="21">
        <f t="shared" si="2"/>
        <v>87.333966246189675</v>
      </c>
      <c r="G14" s="15"/>
      <c r="H14" s="22">
        <f t="shared" si="3"/>
        <v>59.70238729882125</v>
      </c>
    </row>
    <row r="15" spans="1:29" x14ac:dyDescent="0.25">
      <c r="A15" s="15"/>
      <c r="B15" s="15">
        <f t="shared" si="0"/>
        <v>-11</v>
      </c>
      <c r="C15" s="69">
        <v>0</v>
      </c>
      <c r="D15" s="15"/>
      <c r="E15" s="22">
        <f t="shared" si="1"/>
        <v>0</v>
      </c>
      <c r="F15" s="21">
        <f t="shared" si="2"/>
        <v>85.115371699544795</v>
      </c>
      <c r="G15" s="15"/>
      <c r="H15" s="22">
        <f t="shared" si="3"/>
        <v>58.404845383755323</v>
      </c>
    </row>
    <row r="16" spans="1:29" x14ac:dyDescent="0.25">
      <c r="A16" s="15"/>
      <c r="B16" s="15">
        <f t="shared" si="0"/>
        <v>-10</v>
      </c>
      <c r="C16" s="69">
        <v>0</v>
      </c>
      <c r="D16" s="15"/>
      <c r="E16" s="22">
        <f t="shared" si="1"/>
        <v>0</v>
      </c>
      <c r="F16" s="21">
        <f t="shared" si="2"/>
        <v>82.894171130865161</v>
      </c>
      <c r="G16" s="15"/>
      <c r="H16" s="22">
        <f t="shared" si="3"/>
        <v>57.104697446654633</v>
      </c>
    </row>
    <row r="17" spans="1:15" x14ac:dyDescent="0.25">
      <c r="A17" s="15"/>
      <c r="B17" s="15">
        <f t="shared" si="0"/>
        <v>-9</v>
      </c>
      <c r="C17" s="69">
        <v>0</v>
      </c>
      <c r="D17" s="15"/>
      <c r="E17" s="22">
        <f t="shared" si="1"/>
        <v>0</v>
      </c>
      <c r="F17" s="21">
        <f t="shared" si="2"/>
        <v>80.67025240661124</v>
      </c>
      <c r="G17" s="15"/>
      <c r="H17" s="22">
        <f t="shared" si="3"/>
        <v>55.801831353979665</v>
      </c>
    </row>
    <row r="18" spans="1:15" x14ac:dyDescent="0.25">
      <c r="A18" s="15"/>
      <c r="B18" s="15">
        <f t="shared" si="0"/>
        <v>-8</v>
      </c>
      <c r="C18" s="69">
        <v>0</v>
      </c>
      <c r="D18" s="15"/>
      <c r="E18" s="22">
        <f t="shared" si="1"/>
        <v>0</v>
      </c>
      <c r="F18" s="21">
        <f t="shared" si="2"/>
        <v>78.443494216614951</v>
      </c>
      <c r="G18" s="15"/>
      <c r="H18" s="22">
        <f t="shared" si="3"/>
        <v>54.496125795562321</v>
      </c>
      <c r="I18" s="17"/>
      <c r="J18" s="17"/>
      <c r="K18" s="17"/>
      <c r="L18" s="17"/>
      <c r="M18" s="17"/>
      <c r="N18" s="17"/>
      <c r="O18" s="17"/>
    </row>
    <row r="19" spans="1:15" x14ac:dyDescent="0.25">
      <c r="A19" s="15"/>
      <c r="B19" s="15">
        <f t="shared" si="0"/>
        <v>-7</v>
      </c>
      <c r="C19" s="69">
        <v>0</v>
      </c>
      <c r="D19" s="15"/>
      <c r="E19" s="22">
        <f t="shared" si="1"/>
        <v>0</v>
      </c>
      <c r="F19" s="21">
        <f t="shared" si="2"/>
        <v>76.213764939281759</v>
      </c>
      <c r="G19" s="15"/>
      <c r="H19" s="22">
        <f t="shared" si="3"/>
        <v>53.187449149808074</v>
      </c>
      <c r="I19" s="17"/>
      <c r="J19" s="17"/>
      <c r="K19" s="17"/>
      <c r="L19" s="17"/>
      <c r="M19" s="17"/>
      <c r="N19" s="17"/>
      <c r="O19" s="17"/>
    </row>
    <row r="20" spans="1:15" x14ac:dyDescent="0.25">
      <c r="A20" s="15"/>
      <c r="B20" s="15">
        <f t="shared" si="0"/>
        <v>-6</v>
      </c>
      <c r="C20" s="69">
        <v>0</v>
      </c>
      <c r="D20" s="15"/>
      <c r="E20" s="22">
        <f t="shared" si="1"/>
        <v>0</v>
      </c>
      <c r="F20" s="21">
        <f t="shared" si="2"/>
        <v>73.980921315158028</v>
      </c>
      <c r="G20" s="15"/>
      <c r="H20" s="22">
        <f t="shared" si="3"/>
        <v>51.875658157263288</v>
      </c>
      <c r="I20" s="17"/>
      <c r="J20" s="17"/>
      <c r="K20" s="17"/>
      <c r="L20" s="17"/>
      <c r="M20" s="17"/>
      <c r="N20" s="17"/>
      <c r="O20" s="17"/>
    </row>
    <row r="21" spans="1:15" x14ac:dyDescent="0.25">
      <c r="A21" s="15"/>
      <c r="B21" s="15">
        <f t="shared" si="0"/>
        <v>-5</v>
      </c>
      <c r="C21" s="69">
        <v>0</v>
      </c>
      <c r="D21" s="15"/>
      <c r="E21" s="22">
        <f t="shared" si="1"/>
        <v>0</v>
      </c>
      <c r="F21" s="21">
        <f t="shared" si="2"/>
        <v>71.744806887107515</v>
      </c>
      <c r="G21" s="15"/>
      <c r="H21" s="22">
        <f t="shared" si="3"/>
        <v>50.56059636079172</v>
      </c>
      <c r="I21" s="17"/>
      <c r="J21" s="17"/>
      <c r="K21" s="17"/>
      <c r="L21" s="17"/>
      <c r="M21" s="17"/>
      <c r="N21" s="17"/>
      <c r="O21" s="17"/>
    </row>
    <row r="22" spans="1:15" x14ac:dyDescent="0.25">
      <c r="A22" s="15"/>
      <c r="B22" s="15">
        <f t="shared" si="0"/>
        <v>-4</v>
      </c>
      <c r="C22" s="69">
        <v>0</v>
      </c>
      <c r="D22" s="15"/>
      <c r="E22" s="22">
        <f t="shared" si="1"/>
        <v>0</v>
      </c>
      <c r="F22" s="21">
        <f t="shared" si="2"/>
        <v>69.505250154014803</v>
      </c>
      <c r="G22" s="15"/>
      <c r="H22" s="22">
        <f t="shared" si="3"/>
        <v>49.24209225927796</v>
      </c>
      <c r="I22" s="17"/>
      <c r="J22" s="17"/>
      <c r="K22" s="17"/>
      <c r="L22" s="17"/>
      <c r="M22" s="17"/>
      <c r="N22" s="17"/>
      <c r="O22" s="17"/>
    </row>
    <row r="23" spans="1:15" x14ac:dyDescent="0.25">
      <c r="A23" s="15"/>
      <c r="B23" s="15">
        <f t="shared" si="0"/>
        <v>-3</v>
      </c>
      <c r="C23" s="69">
        <v>0</v>
      </c>
      <c r="D23" s="15"/>
      <c r="E23" s="22">
        <f t="shared" si="1"/>
        <v>0</v>
      </c>
      <c r="F23" s="21">
        <f t="shared" si="2"/>
        <v>67.262062369876134</v>
      </c>
      <c r="G23" s="15"/>
      <c r="H23" s="22">
        <f t="shared" si="3"/>
        <v>47.919957106718243</v>
      </c>
      <c r="I23" s="17"/>
      <c r="J23" s="17"/>
      <c r="K23" s="17"/>
      <c r="L23" s="17"/>
      <c r="M23" s="17"/>
      <c r="N23" s="17"/>
      <c r="O23" s="17"/>
    </row>
    <row r="24" spans="1:15" x14ac:dyDescent="0.25">
      <c r="A24" s="15"/>
      <c r="B24" s="15">
        <f t="shared" si="0"/>
        <v>-2</v>
      </c>
      <c r="C24" s="69">
        <v>0</v>
      </c>
      <c r="D24" s="15"/>
      <c r="E24" s="22">
        <f t="shared" si="1"/>
        <v>0</v>
      </c>
      <c r="F24" s="21">
        <f t="shared" si="2"/>
        <v>65.015034899880192</v>
      </c>
      <c r="G24" s="15"/>
      <c r="H24" s="22">
        <f t="shared" si="3"/>
        <v>46.593982268301247</v>
      </c>
      <c r="I24" s="17"/>
      <c r="J24" s="17"/>
      <c r="K24" s="17"/>
      <c r="L24" s="17"/>
      <c r="M24" s="17"/>
      <c r="N24" s="17"/>
      <c r="O24" s="17"/>
    </row>
    <row r="25" spans="1:15" x14ac:dyDescent="0.25">
      <c r="A25" s="15"/>
      <c r="B25" s="15">
        <f t="shared" si="0"/>
        <v>-1</v>
      </c>
      <c r="C25" s="69">
        <v>0</v>
      </c>
      <c r="D25" s="15"/>
      <c r="E25" s="22">
        <f t="shared" si="1"/>
        <v>0</v>
      </c>
      <c r="F25" s="21">
        <f t="shared" si="2"/>
        <v>62.763936017474798</v>
      </c>
      <c r="G25" s="15"/>
      <c r="H25" s="22">
        <f t="shared" si="3"/>
        <v>45.263936017474798</v>
      </c>
      <c r="I25" s="17"/>
      <c r="J25" s="17"/>
      <c r="K25" s="17"/>
      <c r="L25" s="17"/>
      <c r="M25" s="17"/>
      <c r="N25" s="17"/>
      <c r="O25" s="17"/>
    </row>
    <row r="26" spans="1:15" x14ac:dyDescent="0.25">
      <c r="A26" s="15"/>
      <c r="B26" s="15">
        <f t="shared" si="0"/>
        <v>0</v>
      </c>
      <c r="C26" s="69">
        <v>0</v>
      </c>
      <c r="D26" s="15"/>
      <c r="E26" s="22">
        <f t="shared" si="1"/>
        <v>0</v>
      </c>
      <c r="F26" s="21">
        <f t="shared" si="2"/>
        <v>60.508506988261779</v>
      </c>
      <c r="G26" s="15"/>
      <c r="H26" s="22">
        <f t="shared" si="3"/>
        <v>43.929559619840731</v>
      </c>
      <c r="I26" s="17"/>
      <c r="J26" s="17"/>
      <c r="K26" s="17"/>
      <c r="L26" s="17"/>
      <c r="M26" s="17"/>
      <c r="N26" s="17"/>
      <c r="O26" s="17"/>
    </row>
    <row r="27" spans="1:15" x14ac:dyDescent="0.25">
      <c r="A27" s="15"/>
      <c r="B27" s="15">
        <f t="shared" si="0"/>
        <v>1</v>
      </c>
      <c r="C27" s="69">
        <v>0</v>
      </c>
      <c r="D27" s="15"/>
      <c r="E27" s="22">
        <f t="shared" si="1"/>
        <v>0</v>
      </c>
      <c r="F27" s="21">
        <f t="shared" si="2"/>
        <v>58.248457233010569</v>
      </c>
      <c r="G27" s="15"/>
      <c r="H27" s="22">
        <f t="shared" si="3"/>
        <v>42.590562496168467</v>
      </c>
      <c r="I27" s="17"/>
      <c r="J27" s="17"/>
      <c r="K27" s="17"/>
      <c r="L27" s="17"/>
      <c r="M27" s="17"/>
      <c r="N27" s="17"/>
      <c r="O27" s="17"/>
    </row>
    <row r="28" spans="1:15" x14ac:dyDescent="0.25">
      <c r="A28" s="15"/>
      <c r="B28" s="15">
        <f t="shared" si="0"/>
        <v>2</v>
      </c>
      <c r="C28" s="69">
        <v>0</v>
      </c>
      <c r="D28" s="15"/>
      <c r="E28" s="22">
        <f t="shared" si="1"/>
        <v>0</v>
      </c>
      <c r="F28" s="21">
        <f t="shared" si="2"/>
        <v>55.98345828563415</v>
      </c>
      <c r="G28" s="15"/>
      <c r="H28" s="22">
        <f t="shared" si="3"/>
        <v>41.246616180370992</v>
      </c>
      <c r="I28" s="17"/>
      <c r="J28" s="17"/>
      <c r="K28" s="17"/>
      <c r="L28" s="17"/>
      <c r="M28" s="17"/>
      <c r="N28" s="17"/>
      <c r="O28" s="17"/>
    </row>
    <row r="29" spans="1:15" x14ac:dyDescent="0.25">
      <c r="A29" s="15"/>
      <c r="B29" s="15">
        <f t="shared" si="0"/>
        <v>3</v>
      </c>
      <c r="C29" s="69">
        <v>0</v>
      </c>
      <c r="D29" s="15"/>
      <c r="E29" s="22">
        <f t="shared" si="1"/>
        <v>0</v>
      </c>
      <c r="F29" s="21">
        <f t="shared" si="2"/>
        <v>53.713136150764626</v>
      </c>
      <c r="G29" s="15"/>
      <c r="H29" s="22">
        <f t="shared" si="3"/>
        <v>39.897346677080414</v>
      </c>
      <c r="I29" s="17"/>
      <c r="J29" s="17"/>
      <c r="K29" s="17"/>
      <c r="L29" s="17"/>
      <c r="M29" s="17"/>
      <c r="N29" s="17"/>
      <c r="O29" s="17"/>
    </row>
    <row r="30" spans="1:15" x14ac:dyDescent="0.25">
      <c r="A30" s="15"/>
      <c r="B30" s="15">
        <f t="shared" si="0"/>
        <v>4</v>
      </c>
      <c r="C30" s="69">
        <v>0</v>
      </c>
      <c r="D30" s="15"/>
      <c r="E30" s="22">
        <f t="shared" si="1"/>
        <v>0</v>
      </c>
      <c r="F30" s="21">
        <f t="shared" si="2"/>
        <v>51.437061500379016</v>
      </c>
      <c r="G30" s="15"/>
      <c r="H30" s="22">
        <f t="shared" si="3"/>
        <v>38.542324658273756</v>
      </c>
      <c r="I30" s="17"/>
      <c r="J30" s="17"/>
      <c r="K30" s="17"/>
      <c r="L30" s="17"/>
      <c r="M30" s="17"/>
      <c r="N30" s="17"/>
      <c r="O30" s="17"/>
    </row>
    <row r="31" spans="1:15" x14ac:dyDescent="0.25">
      <c r="A31" s="15"/>
      <c r="B31" s="15">
        <f t="shared" si="0"/>
        <v>5</v>
      </c>
      <c r="C31" s="69">
        <v>0</v>
      </c>
      <c r="D31" s="15"/>
      <c r="E31" s="22">
        <f t="shared" si="1"/>
        <v>0</v>
      </c>
      <c r="F31" s="21">
        <f t="shared" si="2"/>
        <v>49.154736897730729</v>
      </c>
      <c r="G31" s="15"/>
      <c r="H31" s="22">
        <f t="shared" si="3"/>
        <v>37.181052687204414</v>
      </c>
      <c r="I31" s="17"/>
      <c r="J31" s="17"/>
      <c r="K31" s="17"/>
      <c r="L31" s="17"/>
      <c r="M31" s="17"/>
      <c r="N31" s="17"/>
      <c r="O31" s="17"/>
    </row>
    <row r="32" spans="1:15" x14ac:dyDescent="0.25">
      <c r="A32" s="15"/>
      <c r="B32" s="15">
        <f t="shared" si="0"/>
        <v>6</v>
      </c>
      <c r="C32" s="69">
        <v>0</v>
      </c>
      <c r="D32" s="15"/>
      <c r="E32" s="22">
        <f t="shared" si="1"/>
        <v>0</v>
      </c>
      <c r="F32" s="21">
        <f t="shared" si="2"/>
        <v>46.865579844614729</v>
      </c>
      <c r="G32" s="15"/>
      <c r="H32" s="22">
        <f t="shared" si="3"/>
        <v>35.812948265667359</v>
      </c>
      <c r="I32" s="17"/>
      <c r="J32" s="17"/>
      <c r="K32" s="17"/>
      <c r="L32" s="17"/>
      <c r="M32" s="17"/>
      <c r="N32" s="17"/>
      <c r="O32" s="17"/>
    </row>
    <row r="33" spans="1:15" x14ac:dyDescent="0.25">
      <c r="A33" s="15"/>
      <c r="B33" s="15">
        <f t="shared" si="0"/>
        <v>7</v>
      </c>
      <c r="C33" s="69">
        <v>0</v>
      </c>
      <c r="D33" s="15"/>
      <c r="E33" s="22">
        <f t="shared" si="1"/>
        <v>0</v>
      </c>
      <c r="F33" s="21">
        <f t="shared" si="2"/>
        <v>44.568899816821244</v>
      </c>
      <c r="G33" s="15"/>
      <c r="H33" s="22">
        <f t="shared" si="3"/>
        <v>34.437320869452819</v>
      </c>
      <c r="I33" s="17"/>
      <c r="J33" s="17"/>
      <c r="K33" s="17"/>
      <c r="L33" s="17"/>
      <c r="M33" s="17"/>
      <c r="N33" s="17"/>
      <c r="O33" s="17"/>
    </row>
    <row r="34" spans="1:15" x14ac:dyDescent="0.25">
      <c r="A34" s="15"/>
      <c r="B34" s="15">
        <f t="shared" si="0"/>
        <v>8</v>
      </c>
      <c r="C34" s="69">
        <v>0</v>
      </c>
      <c r="D34" s="15"/>
      <c r="E34" s="22">
        <f>C34-($C$6-$E$6)*(18-B34)/(18-$B$6)</f>
        <v>0</v>
      </c>
      <c r="F34" s="21">
        <f t="shared" si="2"/>
        <v>42.263866401180685</v>
      </c>
      <c r="G34" s="15"/>
      <c r="H34" s="22">
        <f t="shared" si="3"/>
        <v>33.053340085391213</v>
      </c>
      <c r="I34" s="17"/>
      <c r="J34" s="17"/>
      <c r="K34" s="17"/>
      <c r="L34" s="17"/>
      <c r="M34" s="17"/>
      <c r="N34" s="17"/>
      <c r="O34" s="17"/>
    </row>
    <row r="35" spans="1:15" x14ac:dyDescent="0.25">
      <c r="A35" s="15"/>
      <c r="B35" s="15">
        <f t="shared" si="0"/>
        <v>9</v>
      </c>
      <c r="C35" s="69">
        <v>0</v>
      </c>
      <c r="D35" s="15"/>
      <c r="E35" s="22">
        <f t="shared" si="1"/>
        <v>0</v>
      </c>
      <c r="F35" s="21">
        <f t="shared" si="2"/>
        <v>39.949463824131499</v>
      </c>
      <c r="G35" s="15"/>
      <c r="H35" s="22">
        <f t="shared" si="3"/>
        <v>31.659990139920971</v>
      </c>
      <c r="I35" s="17"/>
      <c r="J35" s="17"/>
      <c r="K35" s="17"/>
      <c r="L35" s="17"/>
      <c r="M35" s="17"/>
      <c r="N35" s="17"/>
      <c r="O35" s="17"/>
    </row>
    <row r="36" spans="1:15" x14ac:dyDescent="0.25">
      <c r="A36" s="15"/>
      <c r="B36" s="15">
        <f t="shared" si="0"/>
        <v>10</v>
      </c>
      <c r="C36" s="69">
        <v>0</v>
      </c>
      <c r="D36" s="15"/>
      <c r="E36" s="22">
        <f t="shared" si="1"/>
        <v>0</v>
      </c>
      <c r="F36" s="21">
        <f t="shared" si="2"/>
        <v>37.624423845999551</v>
      </c>
      <c r="G36" s="15"/>
      <c r="H36" s="22">
        <f t="shared" si="3"/>
        <v>30.256002793367973</v>
      </c>
      <c r="I36" s="17"/>
      <c r="J36" s="17"/>
      <c r="K36" s="17"/>
      <c r="L36" s="17"/>
      <c r="M36" s="17"/>
      <c r="N36" s="17"/>
      <c r="O36" s="17"/>
    </row>
    <row r="37" spans="1:15" x14ac:dyDescent="0.25">
      <c r="A37" s="15"/>
      <c r="B37" s="15">
        <f t="shared" si="0"/>
        <v>11</v>
      </c>
      <c r="C37" s="69">
        <v>0</v>
      </c>
      <c r="D37" s="15"/>
      <c r="E37" s="22">
        <f t="shared" si="1"/>
        <v>0</v>
      </c>
      <c r="F37" s="21">
        <f t="shared" si="2"/>
        <v>35.28712261416932</v>
      </c>
      <c r="G37" s="15"/>
      <c r="H37" s="22">
        <f t="shared" si="3"/>
        <v>28.83975419311669</v>
      </c>
      <c r="I37" s="17"/>
      <c r="J37" s="17"/>
      <c r="K37" s="17"/>
      <c r="L37" s="17"/>
      <c r="M37" s="17"/>
      <c r="N37" s="17"/>
      <c r="O37" s="17"/>
    </row>
    <row r="38" spans="1:15" x14ac:dyDescent="0.25">
      <c r="A38" s="15"/>
      <c r="B38" s="15">
        <f t="shared" si="0"/>
        <v>12</v>
      </c>
      <c r="C38" s="69">
        <v>0</v>
      </c>
      <c r="D38" s="15"/>
      <c r="E38" s="22">
        <f t="shared" si="1"/>
        <v>0</v>
      </c>
      <c r="F38" s="21">
        <f t="shared" si="2"/>
        <v>32.935413907594501</v>
      </c>
      <c r="G38" s="15"/>
      <c r="H38" s="22">
        <f t="shared" si="3"/>
        <v>27.409098118120816</v>
      </c>
      <c r="I38" s="17"/>
      <c r="J38" s="17"/>
      <c r="K38" s="17"/>
      <c r="L38" s="17"/>
      <c r="M38" s="17"/>
      <c r="N38" s="17"/>
      <c r="O38" s="17"/>
    </row>
    <row r="39" spans="1:15" x14ac:dyDescent="0.25">
      <c r="A39" s="15"/>
      <c r="B39" s="15">
        <f t="shared" si="0"/>
        <v>13</v>
      </c>
      <c r="C39" s="69">
        <v>0</v>
      </c>
      <c r="D39" s="15"/>
      <c r="E39" s="22">
        <f t="shared" si="1"/>
        <v>0</v>
      </c>
      <c r="F39" s="21">
        <f t="shared" si="2"/>
        <v>30.566341598637244</v>
      </c>
      <c r="G39" s="15"/>
      <c r="H39" s="22">
        <f t="shared" si="3"/>
        <v>25.961078440742508</v>
      </c>
      <c r="I39" s="17"/>
      <c r="J39" s="17"/>
      <c r="K39" s="17"/>
      <c r="L39" s="17"/>
      <c r="M39" s="17"/>
      <c r="N39" s="17"/>
      <c r="O39" s="17"/>
    </row>
    <row r="40" spans="1:15" x14ac:dyDescent="0.25">
      <c r="A40" s="15"/>
      <c r="B40" s="15">
        <f t="shared" si="0"/>
        <v>14</v>
      </c>
      <c r="C40" s="69">
        <v>0</v>
      </c>
      <c r="D40" s="15"/>
      <c r="E40" s="22">
        <f t="shared" si="1"/>
        <v>0</v>
      </c>
      <c r="F40" s="21">
        <f t="shared" si="2"/>
        <v>28.175599605380299</v>
      </c>
      <c r="G40" s="15"/>
      <c r="H40" s="22">
        <f t="shared" si="3"/>
        <v>24.491389079064511</v>
      </c>
      <c r="I40" s="17"/>
      <c r="J40" s="17"/>
      <c r="K40" s="17"/>
      <c r="L40" s="17"/>
      <c r="M40" s="17"/>
      <c r="N40" s="17"/>
      <c r="O40" s="17"/>
    </row>
    <row r="41" spans="1:15" x14ac:dyDescent="0.25">
      <c r="A41" s="15"/>
      <c r="B41" s="15">
        <f t="shared" si="0"/>
        <v>15</v>
      </c>
      <c r="C41" s="69">
        <v>0</v>
      </c>
      <c r="D41" s="15"/>
      <c r="E41" s="22">
        <f t="shared" si="1"/>
        <v>0</v>
      </c>
      <c r="F41" s="21">
        <f t="shared" si="2"/>
        <v>25.756388626337944</v>
      </c>
      <c r="G41" s="15"/>
      <c r="H41" s="22">
        <f t="shared" si="3"/>
        <v>22.993230731601102</v>
      </c>
      <c r="I41" s="17"/>
      <c r="J41" s="17"/>
      <c r="K41" s="17"/>
      <c r="L41" s="17"/>
      <c r="M41" s="17"/>
      <c r="N41" s="17"/>
      <c r="O41" s="17"/>
    </row>
    <row r="42" spans="1:15" x14ac:dyDescent="0.25">
      <c r="A42" s="15"/>
      <c r="B42" s="15">
        <f t="shared" si="0"/>
        <v>16</v>
      </c>
      <c r="C42" s="69">
        <v>0</v>
      </c>
      <c r="D42" s="15"/>
      <c r="E42" s="22">
        <f>C42-($C$6-$E$6)*(18-B42)/(18-$B$6)</f>
        <v>0</v>
      </c>
      <c r="F42" s="21">
        <f t="shared" si="2"/>
        <v>23.296511219178498</v>
      </c>
      <c r="G42" s="15"/>
      <c r="H42" s="22">
        <f t="shared" si="3"/>
        <v>21.454405956020604</v>
      </c>
      <c r="I42" s="17"/>
      <c r="J42" s="17"/>
      <c r="K42" s="17"/>
      <c r="L42" s="17"/>
      <c r="M42" s="17"/>
      <c r="N42" s="17"/>
      <c r="O42" s="17"/>
    </row>
    <row r="43" spans="1:15" ht="57.75" hidden="1" customHeight="1" x14ac:dyDescent="0.25">
      <c r="A43" s="456" t="s">
        <v>66</v>
      </c>
      <c r="B43" s="90" t="e">
        <f>(C43-C30)*(B29-B30)/(C29-C30)+B30</f>
        <v>#DIV/0!</v>
      </c>
      <c r="C43" s="71">
        <v>70</v>
      </c>
      <c r="D43" s="68"/>
      <c r="E43" s="89" t="e">
        <f>C43-($C$6-$E$6)*(18-B43)/(18-$B$6)</f>
        <v>#DIV/0!</v>
      </c>
      <c r="F43" s="69" t="s">
        <v>65</v>
      </c>
      <c r="G43" s="15"/>
      <c r="H43" s="22"/>
      <c r="I43" s="17"/>
      <c r="J43" s="17"/>
      <c r="K43" s="17"/>
      <c r="L43" s="17"/>
      <c r="M43" s="17"/>
      <c r="N43" s="17"/>
      <c r="O43" s="17"/>
    </row>
    <row r="44" spans="1:15" ht="15" hidden="1" customHeight="1" x14ac:dyDescent="0.25">
      <c r="A44" s="457"/>
      <c r="B44" s="91">
        <v>2</v>
      </c>
      <c r="C44" s="92">
        <f>IF($C$6&lt;95.1,POWER((18-B44)/(18-$B$6),0.8)*(0.5*$D$6+0.5*$E$6-18)+18+($C$6-0.5*$D$6-0.5*$E$6)*(18-B44)/(18-$B$6),IF(POWER((18-B44)/(18-$B$6),0.8)*(0.5*$D$6+0.5*$E$6-18)+18+($C$6-0.5*$D$6-0.5*$E$6)*(18-B44)/(18-$B$6)&gt;$C$43,POWER((18-B44)/(18-$B$6),0.8)*(0.5*$D$6+0.5*$E$6-18)+18+($C$6-0.5*$D$6-0.5*$E$6)*(18-B44)/(18-$B$6),$C$43))</f>
        <v>8.9896509792975845</v>
      </c>
      <c r="D44" s="93"/>
      <c r="E44" s="94">
        <f>C44-($C$6-$E$6)*(18-B44)/(18-$B$6)</f>
        <v>8.9896509792975845</v>
      </c>
      <c r="F44" s="95"/>
      <c r="G44" s="93"/>
      <c r="H44" s="94"/>
      <c r="I44" s="17"/>
      <c r="J44" s="17"/>
      <c r="K44" s="17"/>
      <c r="L44" s="17"/>
      <c r="M44" s="17"/>
      <c r="N44" s="17"/>
      <c r="O44" s="17"/>
    </row>
    <row r="45" spans="1:15" ht="105.75" customHeight="1" x14ac:dyDescent="0.25">
      <c r="A45" s="162"/>
      <c r="B45" s="383" t="s">
        <v>475</v>
      </c>
      <c r="C45" s="15" t="s">
        <v>455</v>
      </c>
      <c r="D45" s="15" t="s">
        <v>19</v>
      </c>
      <c r="E45" s="15" t="s">
        <v>78</v>
      </c>
      <c r="F45" s="15" t="s">
        <v>18</v>
      </c>
      <c r="G45" s="15" t="s">
        <v>19</v>
      </c>
      <c r="H45" s="15" t="s">
        <v>78</v>
      </c>
      <c r="I45" s="15" t="s">
        <v>476</v>
      </c>
      <c r="J45" s="17"/>
      <c r="K45" s="17"/>
      <c r="L45" s="17"/>
      <c r="M45" s="17"/>
      <c r="N45" s="17"/>
      <c r="O45" s="17"/>
    </row>
    <row r="46" spans="1:15" x14ac:dyDescent="0.25">
      <c r="A46" s="15" t="s">
        <v>3</v>
      </c>
      <c r="B46" s="329">
        <v>-4.0999999999999996</v>
      </c>
      <c r="C46" s="69">
        <f>IF($C$6&lt;95.1,POWER((18-B46)/(18-$B$6),0.8)*(0.5*$D$6+0.5*$E$6-18)+18+($C$6-0.5*$D$6-0.5*$E$6)*(18-B46)/(18-$B$6),IF(POWER((18-B46)/(18-$B$6),0.8)*(0.5*$D$6+0.5*$E$6-18)+18+($C$6-0.5*$D$6-0.5*$E$6)*(18-B46)/(18-$B$6)&gt;$C$43,POWER((18-B46)/(18-$B$6),0.8)*(0.5*$D$6+0.5*$E$6-18)+18+($C$6-0.5*$D$6-0.5*$E$6)*(18-B46)/(18-$B$6),$C$43))</f>
        <v>6.3329933137301975</v>
      </c>
      <c r="D46" s="15"/>
      <c r="E46" s="22">
        <f>C46-($C$6-$E$6)*(18-B46)/(18-$B$6)</f>
        <v>6.3329933137301975</v>
      </c>
      <c r="F46" s="21">
        <f>POWER((18-B46)/(18-$B$6),0.8)*(0.5*$G$6+0.5*$H$6-18)+18+($F$6-0.5*$G$6-0.5*$H$6)*(18-B46)/(18-$B$6)</f>
        <v>69.729365963933176</v>
      </c>
      <c r="G46" s="15"/>
      <c r="H46" s="22">
        <f>F46-($F$6-$H$6)*(18-B46)/(18-$B$6)</f>
        <v>49.374102806038437</v>
      </c>
      <c r="I46" s="331">
        <v>31</v>
      </c>
      <c r="J46" s="17"/>
      <c r="K46" s="17"/>
      <c r="L46" s="17"/>
      <c r="M46" s="17"/>
      <c r="N46" s="17"/>
      <c r="O46" s="17"/>
    </row>
    <row r="47" spans="1:15" x14ac:dyDescent="0.25">
      <c r="A47" s="14" t="s">
        <v>4</v>
      </c>
      <c r="B47" s="330">
        <v>-2.4</v>
      </c>
      <c r="C47" s="69">
        <f>IF($C$6&lt;95.1,POWER((18-B47)/(18-$B$6),0.8)*(0.5*$D$6+0.5*$E$6-18)+18+($C$6-0.5*$D$6-0.5*$E$6)*(18-B47)/(18-$B$6),IF(POWER((18-B47)/(18-$B$6),0.8)*(0.5*$D$6+0.5*$E$6-18)+18+($C$6-0.5*$D$6-0.5*$E$6)*(18-B47)/(18-$B$6)&gt;$C$43,POWER((18-B47)/(18-$B$6),0.8)*(0.5*$D$6+0.5*$E$6-18)+18+($C$6-0.5*$D$6-0.5*$E$6)*(18-B47)/(18-$B$6),$C$43))</f>
        <v>7.056663296668825</v>
      </c>
      <c r="D47" s="15"/>
      <c r="E47" s="22">
        <f>C47-($C$6-$E$6)*(18-B47)/(18-$B$6)</f>
        <v>7.056663296668825</v>
      </c>
      <c r="F47" s="21">
        <f>POWER((18-B47)/(18-$B$6),0.8)*(0.5*$G$6+0.5*$H$6-18)+18+($F$6-0.5*$G$6-0.5*$H$6)*(18-B47)/(18-$B$6)</f>
        <v>65.914320921567167</v>
      </c>
      <c r="G47" s="15"/>
      <c r="H47" s="22">
        <f>F47-($F$6-$H$6)*(18-B47)/(18-$B$6)</f>
        <v>47.12484723735664</v>
      </c>
      <c r="I47" s="331">
        <v>28</v>
      </c>
      <c r="J47" s="17"/>
      <c r="K47" s="17"/>
      <c r="L47" s="17"/>
      <c r="M47" s="17"/>
      <c r="N47" s="17"/>
      <c r="O47" s="17"/>
    </row>
    <row r="48" spans="1:15" x14ac:dyDescent="0.25">
      <c r="A48" s="14" t="s">
        <v>5</v>
      </c>
      <c r="B48" s="330">
        <v>2</v>
      </c>
      <c r="C48" s="69">
        <f>IF($C$6&lt;95.1,POWER((18-B48)/(18-$B$6),0.8)*(0.5*$D$6+0.5*$E$6-18)+18+($C$6-0.5*$D$6-0.5*$E$6)*(18-B48)/(18-$B$6),IF(POWER((18-B48)/(18-$B$6),0.8)*(0.5*$D$6+0.5*$E$6-18)+18+($C$6-0.5*$D$6-0.5*$E$6)*(18-B48)/(18-$B$6)&gt;$C$43,POWER((18-B48)/(18-$B$6),0.8)*(0.5*$D$6+0.5*$E$6-18)+18+($C$6-0.5*$D$6-0.5*$E$6)*(18-B48)/(18-$B$6),$C$43))</f>
        <v>8.9896509792975845</v>
      </c>
      <c r="D48" s="15"/>
      <c r="E48" s="22">
        <f>C48-($C$6-$E$6)*(18-B48)/(18-$B$6)</f>
        <v>8.9896509792975845</v>
      </c>
      <c r="F48" s="21">
        <f>POWER((18-B48)/(18-$B$6),0.8)*(0.5*$G$6+0.5*$H$6-18)+18+($F$6-0.5*$G$6-0.5*$H$6)*(18-B48)/(18-$B$6)</f>
        <v>55.98345828563415</v>
      </c>
      <c r="G48" s="15"/>
      <c r="H48" s="22">
        <f>F48-($F$6-$H$6)*(18-B48)/(18-$B$6)</f>
        <v>41.246616180370992</v>
      </c>
      <c r="I48" s="331">
        <v>31</v>
      </c>
      <c r="J48" s="17"/>
      <c r="K48" s="17"/>
      <c r="L48" s="17"/>
      <c r="M48" s="17"/>
      <c r="N48" s="17"/>
      <c r="O48" s="17"/>
    </row>
    <row r="49" spans="1:15" x14ac:dyDescent="0.25">
      <c r="A49" s="14" t="s">
        <v>6</v>
      </c>
      <c r="B49" s="367">
        <v>8.9</v>
      </c>
      <c r="C49" s="69">
        <f>IF($C$6&lt;95.1,POWER((18-B49)/(18-$B$6),0.8)*(0.5*$D$6+0.5*$E$6-18)+18+($C$6-0.5*$D$6-0.5*$E$6)*(18-B49)/(18-$B$6),IF(POWER((18-B49)/(18-$B$6),0.8)*(0.5*$D$6+0.5*$E$6-18)+18+($C$6-0.5*$D$6-0.5*$E$6)*(18-B49)/(18-$B$6)&gt;$C$43,POWER((18-B49)/(18-$B$6),0.8)*(0.5*$D$6+0.5*$E$6-18)+18+($C$6-0.5*$D$6-0.5*$E$6)*(18-B49)/(18-$B$6),$C$43))</f>
        <v>12.263080688538643</v>
      </c>
      <c r="D49" s="15"/>
      <c r="E49" s="22">
        <f>C49-($C$6-$E$6)*(18-B49)/(18-$B$6)</f>
        <v>12.263080688538643</v>
      </c>
      <c r="F49" s="21">
        <f>POWER((18-B49)/(18-$B$6),0.8)*(0.5*$G$6+0.5*$H$6-18)+18+($F$6-0.5*$G$6-0.5*$H$6)*(18-B49)/(18-$B$6)</f>
        <v>40.181359466672568</v>
      </c>
      <c r="G49" s="15"/>
      <c r="H49" s="22">
        <f>F49-($F$6-$H$6)*(18-B49)/(18-$B$6)</f>
        <v>31.799780519304147</v>
      </c>
      <c r="I49" s="368">
        <v>11</v>
      </c>
      <c r="J49" s="17"/>
      <c r="K49" s="17"/>
      <c r="L49" s="17"/>
      <c r="M49" s="17"/>
      <c r="N49" s="17"/>
      <c r="O49" s="17"/>
    </row>
    <row r="50" spans="1:15" x14ac:dyDescent="0.25">
      <c r="A50" s="14" t="s">
        <v>7</v>
      </c>
      <c r="B50" s="329">
        <v>8.9</v>
      </c>
      <c r="C50" s="96">
        <v>70</v>
      </c>
      <c r="D50" s="329"/>
      <c r="E50" s="97">
        <v>30</v>
      </c>
      <c r="F50" s="98">
        <v>70</v>
      </c>
      <c r="G50" s="329"/>
      <c r="H50" s="97">
        <v>30</v>
      </c>
      <c r="I50" s="331">
        <v>0</v>
      </c>
      <c r="J50" s="17"/>
      <c r="K50" s="17"/>
      <c r="L50" s="17"/>
      <c r="M50" s="17"/>
      <c r="N50" s="17"/>
      <c r="O50" s="17"/>
    </row>
    <row r="51" spans="1:15" x14ac:dyDescent="0.25">
      <c r="A51" s="14" t="s">
        <v>8</v>
      </c>
      <c r="B51" s="329">
        <v>14.5</v>
      </c>
      <c r="C51" s="96">
        <v>70</v>
      </c>
      <c r="D51" s="329"/>
      <c r="E51" s="97">
        <v>30</v>
      </c>
      <c r="F51" s="98">
        <v>70</v>
      </c>
      <c r="G51" s="329"/>
      <c r="H51" s="97">
        <v>30</v>
      </c>
      <c r="I51" s="331">
        <v>0</v>
      </c>
      <c r="J51" s="454"/>
      <c r="K51" s="455"/>
      <c r="L51" s="455"/>
      <c r="M51" s="455"/>
      <c r="N51" s="455"/>
      <c r="O51" s="17"/>
    </row>
    <row r="52" spans="1:15" x14ac:dyDescent="0.25">
      <c r="A52" s="14" t="s">
        <v>9</v>
      </c>
      <c r="B52" s="329">
        <v>17.600000000000001</v>
      </c>
      <c r="C52" s="96">
        <v>70</v>
      </c>
      <c r="D52" s="329"/>
      <c r="E52" s="97">
        <v>30</v>
      </c>
      <c r="F52" s="98">
        <v>70</v>
      </c>
      <c r="G52" s="329"/>
      <c r="H52" s="97">
        <v>30</v>
      </c>
      <c r="I52" s="331">
        <v>0</v>
      </c>
      <c r="J52" s="454"/>
      <c r="K52" s="455"/>
      <c r="L52" s="455"/>
      <c r="M52" s="455"/>
      <c r="N52" s="455"/>
      <c r="O52" s="17"/>
    </row>
    <row r="53" spans="1:15" x14ac:dyDescent="0.25">
      <c r="A53" s="14" t="s">
        <v>10</v>
      </c>
      <c r="B53" s="329">
        <v>19.100000000000001</v>
      </c>
      <c r="C53" s="96">
        <v>70</v>
      </c>
      <c r="D53" s="329"/>
      <c r="E53" s="97">
        <v>30</v>
      </c>
      <c r="F53" s="98">
        <v>70</v>
      </c>
      <c r="G53" s="329"/>
      <c r="H53" s="97">
        <v>30</v>
      </c>
      <c r="I53" s="331">
        <v>0</v>
      </c>
      <c r="J53" s="17"/>
      <c r="K53" s="17"/>
      <c r="L53" s="17"/>
      <c r="M53" s="17"/>
      <c r="N53" s="17"/>
      <c r="O53" s="17"/>
    </row>
    <row r="54" spans="1:15" x14ac:dyDescent="0.25">
      <c r="A54" s="14" t="s">
        <v>11</v>
      </c>
      <c r="B54" s="329">
        <v>18.399999999999999</v>
      </c>
      <c r="C54" s="96">
        <v>70</v>
      </c>
      <c r="D54" s="329"/>
      <c r="E54" s="97">
        <v>30</v>
      </c>
      <c r="F54" s="98">
        <v>70</v>
      </c>
      <c r="G54" s="329"/>
      <c r="H54" s="97">
        <v>30</v>
      </c>
      <c r="I54" s="331">
        <v>0</v>
      </c>
      <c r="J54" s="17"/>
      <c r="K54" s="17"/>
      <c r="L54" s="17"/>
      <c r="M54" s="17"/>
      <c r="N54" s="17"/>
      <c r="O54" s="17"/>
    </row>
    <row r="55" spans="1:15" x14ac:dyDescent="0.25">
      <c r="A55" s="14" t="s">
        <v>12</v>
      </c>
      <c r="B55" s="329">
        <v>14.1</v>
      </c>
      <c r="C55" s="96">
        <v>70</v>
      </c>
      <c r="D55" s="329"/>
      <c r="E55" s="97">
        <v>30</v>
      </c>
      <c r="F55" s="98">
        <v>70</v>
      </c>
      <c r="G55" s="329"/>
      <c r="H55" s="97">
        <v>30</v>
      </c>
      <c r="I55" s="331">
        <v>0</v>
      </c>
      <c r="J55" s="17"/>
      <c r="K55" s="17"/>
      <c r="L55" s="17"/>
      <c r="M55" s="17"/>
      <c r="N55" s="17"/>
      <c r="O55" s="17"/>
    </row>
    <row r="56" spans="1:15" x14ac:dyDescent="0.25">
      <c r="A56" s="14" t="s">
        <v>13</v>
      </c>
      <c r="B56" s="329">
        <v>8.6999999999999993</v>
      </c>
      <c r="C56" s="96">
        <v>70</v>
      </c>
      <c r="D56" s="329"/>
      <c r="E56" s="97">
        <v>30</v>
      </c>
      <c r="F56" s="98">
        <v>70</v>
      </c>
      <c r="G56" s="329"/>
      <c r="H56" s="97">
        <v>30</v>
      </c>
      <c r="I56" s="331">
        <v>0</v>
      </c>
      <c r="J56" s="17"/>
      <c r="K56" s="17"/>
      <c r="L56" s="17"/>
      <c r="M56" s="17"/>
      <c r="N56" s="17"/>
      <c r="O56" s="17"/>
    </row>
    <row r="57" spans="1:15" x14ac:dyDescent="0.25">
      <c r="A57" s="14" t="s">
        <v>14</v>
      </c>
      <c r="B57" s="369">
        <v>8.6999999999999993</v>
      </c>
      <c r="C57" s="69">
        <f>IF($C$6&lt;95.1,POWER((18-B57)/(18-$B$6),0.8)*(0.5*$D$6+0.5*$E$6-18)+18+($C$6-0.5*$D$6-0.5*$E$6)*(18-B57)/(18-$B$6),IF(POWER((18-B57)/(18-$B$6),0.8)*(0.5*$D$6+0.5*$E$6-18)+18+($C$6-0.5*$D$6-0.5*$E$6)*(18-B57)/(18-$B$6)&gt;$C$43,POWER((18-B57)/(18-$B$6),0.8)*(0.5*$D$6+0.5*$E$6-18)+18+($C$6-0.5*$D$6-0.5*$E$6)*(18-B57)/(18-$B$6),$C$43))</f>
        <v>12.16243154179184</v>
      </c>
      <c r="D57" s="15"/>
      <c r="E57" s="22">
        <f>C57-($C$6-$E$6)*(18-B57)/(18-$B$6)</f>
        <v>12.16243154179184</v>
      </c>
      <c r="F57" s="21">
        <f>POWER((18-B57)/(18-$B$6),0.8)*(0.5*$G$6+0.5*$H$6-18)+18+($F$6-0.5*$G$6-0.5*$H$6)*(18-B57)/(18-$B$6)</f>
        <v>40.644838046787243</v>
      </c>
      <c r="G57" s="15"/>
      <c r="H57" s="22">
        <f>F57-($F$6-$H$6)*(18-B57)/(18-$B$6)</f>
        <v>32.07904857310303</v>
      </c>
      <c r="I57" s="368">
        <v>13</v>
      </c>
      <c r="J57" s="17"/>
      <c r="K57" s="17"/>
      <c r="L57" s="17"/>
      <c r="M57" s="17"/>
      <c r="N57" s="17"/>
      <c r="O57" s="17"/>
    </row>
    <row r="58" spans="1:15" x14ac:dyDescent="0.25">
      <c r="A58" s="14" t="s">
        <v>15</v>
      </c>
      <c r="B58" s="329">
        <v>2.7</v>
      </c>
      <c r="C58" s="69">
        <f>IF($C$6&lt;95.1,POWER((18-B58)/(18-$B$6),0.8)*(0.5*$D$6+0.5*$E$6-18)+18+($C$6-0.5*$D$6-0.5*$E$6)*(18-B58)/(18-$B$6),IF(POWER((18-B58)/(18-$B$6),0.8)*(0.5*$D$6+0.5*$E$6-18)+18+($C$6-0.5*$D$6-0.5*$E$6)*(18-B58)/(18-$B$6)&gt;$C$43,POWER((18-B58)/(18-$B$6),0.8)*(0.5*$D$6+0.5*$E$6-18)+18+($C$6-0.5*$D$6-0.5*$E$6)*(18-B58)/(18-$B$6),$C$43))</f>
        <v>9.3064176474053291</v>
      </c>
      <c r="D58" s="15"/>
      <c r="E58" s="22">
        <f>C58-($C$6-$E$6)*(18-B58)/(18-$B$6)</f>
        <v>9.3064176474053291</v>
      </c>
      <c r="F58" s="21">
        <f>POWER((18-B58)/(18-$B$6),0.8)*(0.5*$G$6+0.5*$H$6-18)+18+($F$6-0.5*$G$6-0.5*$H$6)*(18-B58)/(18-$B$6)</f>
        <v>54.394816081544093</v>
      </c>
      <c r="G58" s="15"/>
      <c r="H58" s="22">
        <f>F58-($F$6-$H$6)*(18-B58)/(18-$B$6)</f>
        <v>40.302710818386196</v>
      </c>
      <c r="I58" s="331">
        <v>30</v>
      </c>
      <c r="J58" s="17"/>
      <c r="K58" s="17"/>
      <c r="L58" s="17"/>
      <c r="M58" s="17"/>
      <c r="N58" s="17"/>
      <c r="O58" s="17"/>
    </row>
    <row r="59" spans="1:15" x14ac:dyDescent="0.25">
      <c r="A59" s="14" t="s">
        <v>16</v>
      </c>
      <c r="B59" s="329">
        <v>-2.1</v>
      </c>
      <c r="C59" s="69">
        <f>IF($C$6&lt;95.1,POWER((18-B59)/(18-$B$6),0.8)*(0.5*$D$6+0.5*$E$6-18)+18+($C$6-0.5*$D$6-0.5*$E$6)*(18-B59)/(18-$B$6),IF(POWER((18-B59)/(18-$B$6),0.8)*(0.5*$D$6+0.5*$E$6-18)+18+($C$6-0.5*$D$6-0.5*$E$6)*(18-B59)/(18-$B$6)&gt;$C$43,POWER((18-B59)/(18-$B$6),0.8)*(0.5*$D$6+0.5*$E$6-18)+18+($C$6-0.5*$D$6-0.5*$E$6)*(18-B59)/(18-$B$6),$C$43))</f>
        <v>7.1855988882457993</v>
      </c>
      <c r="D59" s="15"/>
      <c r="E59" s="22">
        <f>C59-($C$6-$E$6)*(18-B59)/(18-$B$6)</f>
        <v>7.1855988882457993</v>
      </c>
      <c r="F59" s="21">
        <f>POWER((18-B59)/(18-$B$6),0.8)*(0.5*$G$6+0.5*$H$6-18)+18+($F$6-0.5*$G$6-0.5*$H$6)*(18-B59)/(18-$B$6)</f>
        <v>65.23991683946376</v>
      </c>
      <c r="G59" s="15"/>
      <c r="H59" s="22">
        <f>F59-($F$6-$H$6)*(18-B59)/(18-$B$6)</f>
        <v>46.726758944726917</v>
      </c>
      <c r="I59" s="331">
        <v>31</v>
      </c>
      <c r="J59" s="17"/>
      <c r="K59" s="17"/>
      <c r="L59" s="17"/>
      <c r="M59" s="17"/>
      <c r="N59" s="17"/>
      <c r="O59" s="17"/>
    </row>
    <row r="60" spans="1:15" ht="75" x14ac:dyDescent="0.25">
      <c r="A60" s="302" t="s">
        <v>447</v>
      </c>
      <c r="B60" s="370">
        <f>IF(I60=0,0,SUMPRODUCT(B46:B59,I46:I59)/I60)</f>
        <v>0.54057142857142848</v>
      </c>
      <c r="C60" s="370">
        <f>IF(I60=0,0,SUMPRODUCT(C46:C59,I46:I59)/I60)</f>
        <v>8.3859436455176404</v>
      </c>
      <c r="D60" s="370"/>
      <c r="E60" s="370">
        <f>IF(I60=0,0,SUMPRODUCT(E46:E59,I46:I59)/I60)</f>
        <v>8.3859436455176404</v>
      </c>
      <c r="F60" s="370">
        <f>IF(I60=0,0,SUMPRODUCT(F46:F59,I46:I59)/I60)</f>
        <v>59.242047375724567</v>
      </c>
      <c r="G60" s="370"/>
      <c r="H60" s="370">
        <f>IF(I60=0,0,SUMPRODUCT(H46:H59,I46:I59)/I60)</f>
        <v>43.160994744145619</v>
      </c>
      <c r="I60" s="371">
        <f>SUM(I46:I59)</f>
        <v>175</v>
      </c>
    </row>
    <row r="61" spans="1:15" ht="75" x14ac:dyDescent="0.25">
      <c r="A61" s="99" t="s">
        <v>82</v>
      </c>
      <c r="B61" s="370">
        <f>IF(I61=0,0,(SUMPRODUCT(B46:B49,I46:I49)+SUMPRODUCT(B57:B59,I57:I59))/I61)</f>
        <v>0.54057142857142859</v>
      </c>
      <c r="C61" s="370">
        <f>IF(I61=0,0,(SUMPRODUCT(C46:C49,I46:I49)+SUMPRODUCT(C57:C59,I57:I59))/I61)</f>
        <v>8.3859436455176386</v>
      </c>
      <c r="D61" s="370"/>
      <c r="E61" s="370">
        <f>IF(I61=0,0,(SUMPRODUCT(E46:E49,I46:I49)+SUMPRODUCT(E57:E59,I57:I59))/I61)</f>
        <v>8.3859436455176386</v>
      </c>
      <c r="F61" s="370">
        <f>IF(I61=0,0,(SUMPRODUCT(F46:F49,I46:I49)+SUMPRODUCT(F57:F59,I57:I59))/I61)</f>
        <v>59.242047375724567</v>
      </c>
      <c r="G61" s="370"/>
      <c r="H61" s="370">
        <f>IF(I61=0,0,(SUMPRODUCT(H46:H49,I46:I49)+SUMPRODUCT(H57:H59,I57:I59))/I61)</f>
        <v>43.160994744145619</v>
      </c>
      <c r="I61" s="371">
        <f>I59+I58+I57+I46+I47+I48+I49</f>
        <v>175</v>
      </c>
    </row>
  </sheetData>
  <sheetProtection password="CC5D" sheet="1"/>
  <mergeCells count="8">
    <mergeCell ref="A1:I1"/>
    <mergeCell ref="A2:I2"/>
    <mergeCell ref="J51:N52"/>
    <mergeCell ref="A43:A44"/>
    <mergeCell ref="C4:E4"/>
    <mergeCell ref="F4:H4"/>
    <mergeCell ref="C3:D3"/>
    <mergeCell ref="F3:H3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T340"/>
  <sheetViews>
    <sheetView topLeftCell="A295" zoomScale="90" zoomScaleNormal="90" workbookViewId="0">
      <selection activeCell="L162" sqref="L162"/>
    </sheetView>
  </sheetViews>
  <sheetFormatPr defaultRowHeight="15" outlineLevelRow="1" x14ac:dyDescent="0.25"/>
  <cols>
    <col min="1" max="1" width="25.42578125" style="54" customWidth="1"/>
    <col min="2" max="2" width="12.28515625" style="54" hidden="1" customWidth="1"/>
    <col min="3" max="5" width="11.7109375" style="54" customWidth="1"/>
    <col min="6" max="6" width="13.140625" style="54" customWidth="1"/>
    <col min="7" max="7" width="14.140625" style="54" customWidth="1"/>
    <col min="8" max="8" width="11.7109375" style="54" customWidth="1"/>
    <col min="9" max="9" width="13.42578125" style="54" customWidth="1"/>
    <col min="10" max="10" width="11.7109375" style="54" customWidth="1"/>
    <col min="11" max="14" width="11.7109375" style="335" customWidth="1"/>
    <col min="15" max="15" width="12.5703125" style="336" customWidth="1"/>
    <col min="16" max="16" width="12.7109375" style="75" hidden="1" customWidth="1"/>
    <col min="17" max="17" width="13" style="76" hidden="1" customWidth="1"/>
    <col min="18" max="18" width="9.28515625" style="47" hidden="1" customWidth="1"/>
    <col min="19" max="19" width="8.5703125" style="47" hidden="1" customWidth="1"/>
    <col min="20" max="20" width="7.85546875" style="47" hidden="1" customWidth="1"/>
    <col min="21" max="25" width="17.5703125" style="47" hidden="1" customWidth="1"/>
    <col min="26" max="94" width="0" style="47" hidden="1" customWidth="1"/>
    <col min="95" max="16384" width="9.140625" style="47"/>
  </cols>
  <sheetData>
    <row r="1" spans="1:29" ht="18.75" customHeight="1" x14ac:dyDescent="0.25">
      <c r="A1" s="474" t="s">
        <v>167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/>
      <c r="O1" s="474"/>
      <c r="P1" s="474"/>
      <c r="Q1" s="48"/>
      <c r="R1" s="49"/>
      <c r="S1" s="49"/>
      <c r="T1" s="49"/>
      <c r="U1" s="49"/>
      <c r="V1" s="49"/>
      <c r="W1" s="49"/>
      <c r="X1" s="49"/>
    </row>
    <row r="2" spans="1:29" x14ac:dyDescent="0.25">
      <c r="A2" s="42"/>
      <c r="B2" s="43"/>
      <c r="C2" s="43"/>
      <c r="D2" s="43"/>
      <c r="E2" s="43"/>
      <c r="F2" s="43"/>
      <c r="G2" s="43"/>
      <c r="H2" s="43"/>
      <c r="I2" s="43"/>
      <c r="J2" s="43"/>
      <c r="K2" s="332"/>
      <c r="L2" s="332"/>
      <c r="M2" s="332"/>
      <c r="N2" s="332"/>
      <c r="O2" s="333"/>
      <c r="P2" s="44"/>
      <c r="Q2" s="50"/>
      <c r="R2" s="51"/>
      <c r="S2" s="51"/>
      <c r="T2" s="51"/>
      <c r="U2" s="51"/>
      <c r="V2" s="51"/>
      <c r="W2" s="52"/>
      <c r="X2" s="52"/>
    </row>
    <row r="3" spans="1:29" s="53" customFormat="1" x14ac:dyDescent="0.25">
      <c r="A3" s="477" t="str">
        <f>'темп граф'!A2:H2</f>
        <v xml:space="preserve">Заміна тепломережі </v>
      </c>
      <c r="B3" s="478"/>
      <c r="C3" s="478"/>
      <c r="D3" s="478"/>
      <c r="E3" s="478"/>
      <c r="F3" s="478"/>
      <c r="G3" s="478"/>
      <c r="H3" s="478"/>
      <c r="I3" s="478"/>
      <c r="J3" s="478"/>
      <c r="K3" s="334"/>
      <c r="L3" s="334"/>
      <c r="M3" s="334"/>
      <c r="N3" s="334"/>
      <c r="O3" s="334"/>
      <c r="P3" s="73"/>
      <c r="Q3" s="74"/>
      <c r="R3" s="72"/>
      <c r="S3" s="72"/>
      <c r="T3" s="72"/>
      <c r="U3" s="72"/>
      <c r="V3" s="72"/>
      <c r="W3" s="72"/>
      <c r="X3" s="72"/>
    </row>
    <row r="5" spans="1:29" hidden="1" x14ac:dyDescent="0.25"/>
    <row r="6" spans="1:29" s="46" customFormat="1" ht="15.75" hidden="1" thickBot="1" x14ac:dyDescent="0.3">
      <c r="A6" s="43"/>
      <c r="B6" s="43"/>
      <c r="C6" s="475"/>
      <c r="D6" s="475"/>
      <c r="E6" s="475"/>
      <c r="F6" s="475"/>
      <c r="G6" s="475"/>
      <c r="H6" s="475"/>
      <c r="I6" s="475"/>
      <c r="J6" s="476" t="s">
        <v>20</v>
      </c>
      <c r="K6" s="476"/>
      <c r="L6" s="476"/>
      <c r="M6" s="476"/>
      <c r="N6" s="476"/>
      <c r="O6" s="476"/>
      <c r="P6" s="476"/>
      <c r="Q6" s="476"/>
      <c r="R6" s="476"/>
      <c r="S6" s="476"/>
      <c r="T6" s="476"/>
      <c r="U6" s="476"/>
      <c r="V6" s="476"/>
      <c r="W6" s="476"/>
      <c r="X6" s="476"/>
      <c r="Y6" s="476"/>
    </row>
    <row r="7" spans="1:29" s="43" customFormat="1" ht="15" hidden="1" customHeight="1" thickBot="1" x14ac:dyDescent="0.3">
      <c r="A7" s="55"/>
      <c r="B7" s="281"/>
      <c r="C7" s="468" t="s">
        <v>441</v>
      </c>
      <c r="D7" s="469"/>
      <c r="E7" s="469"/>
      <c r="F7" s="470"/>
      <c r="G7" s="468" t="s">
        <v>442</v>
      </c>
      <c r="H7" s="469"/>
      <c r="I7" s="469"/>
      <c r="J7" s="470"/>
      <c r="K7" s="471" t="s">
        <v>443</v>
      </c>
      <c r="L7" s="472"/>
      <c r="M7" s="473"/>
      <c r="N7" s="468" t="s">
        <v>444</v>
      </c>
      <c r="O7" s="469"/>
      <c r="P7" s="469"/>
      <c r="Q7" s="469"/>
      <c r="R7" s="470"/>
      <c r="S7" s="468" t="s">
        <v>445</v>
      </c>
      <c r="T7" s="469"/>
      <c r="U7" s="469"/>
      <c r="V7" s="470"/>
      <c r="W7" s="468" t="s">
        <v>446</v>
      </c>
      <c r="X7" s="469"/>
      <c r="Y7" s="470"/>
    </row>
    <row r="8" spans="1:29" s="46" customFormat="1" hidden="1" x14ac:dyDescent="0.25">
      <c r="A8" s="56" t="s">
        <v>21</v>
      </c>
      <c r="B8" s="56" t="s">
        <v>22</v>
      </c>
      <c r="C8" s="282">
        <v>65</v>
      </c>
      <c r="D8" s="282">
        <v>50</v>
      </c>
      <c r="E8" s="283">
        <v>90</v>
      </c>
      <c r="F8" s="282">
        <v>50</v>
      </c>
      <c r="G8" s="282">
        <v>65</v>
      </c>
      <c r="H8" s="282">
        <v>50</v>
      </c>
      <c r="I8" s="282">
        <v>90</v>
      </c>
      <c r="J8" s="282">
        <v>50</v>
      </c>
      <c r="K8" s="337">
        <f>50-J40</f>
        <v>51</v>
      </c>
      <c r="L8" s="337">
        <f>100-J40</f>
        <v>101</v>
      </c>
      <c r="M8" s="337">
        <f>150-J40</f>
        <v>151</v>
      </c>
      <c r="N8" s="337">
        <v>65</v>
      </c>
      <c r="O8" s="338">
        <v>50</v>
      </c>
      <c r="P8" s="284"/>
      <c r="Q8" s="285">
        <v>90</v>
      </c>
      <c r="R8" s="286">
        <v>50</v>
      </c>
      <c r="S8" s="286">
        <v>65</v>
      </c>
      <c r="T8" s="286">
        <v>50</v>
      </c>
      <c r="U8" s="286">
        <v>90</v>
      </c>
      <c r="V8" s="286">
        <v>50</v>
      </c>
      <c r="W8" s="289">
        <f>50-I40</f>
        <v>41.5</v>
      </c>
      <c r="X8" s="289">
        <f>100-I40</f>
        <v>91.5</v>
      </c>
      <c r="Y8" s="289">
        <f>150-I40</f>
        <v>141.5</v>
      </c>
      <c r="AA8" s="77"/>
      <c r="AB8" s="77"/>
      <c r="AC8" s="77"/>
    </row>
    <row r="9" spans="1:29" hidden="1" x14ac:dyDescent="0.25">
      <c r="A9" s="57">
        <v>25</v>
      </c>
      <c r="B9" s="57">
        <v>32</v>
      </c>
      <c r="C9" s="278">
        <v>18</v>
      </c>
      <c r="D9" s="278">
        <v>12</v>
      </c>
      <c r="E9" s="279">
        <v>26</v>
      </c>
      <c r="F9" s="278">
        <v>11</v>
      </c>
      <c r="G9" s="77">
        <v>36</v>
      </c>
      <c r="H9" s="77">
        <v>27</v>
      </c>
      <c r="I9" s="77">
        <v>48</v>
      </c>
      <c r="J9" s="28">
        <v>26</v>
      </c>
      <c r="K9" s="339">
        <v>15</v>
      </c>
      <c r="L9" s="339">
        <v>28</v>
      </c>
      <c r="M9" s="339">
        <v>42</v>
      </c>
      <c r="N9" s="339">
        <v>16</v>
      </c>
      <c r="O9" s="339">
        <v>11</v>
      </c>
      <c r="P9" s="280"/>
      <c r="Q9" s="280">
        <v>23</v>
      </c>
      <c r="R9" s="280">
        <v>10</v>
      </c>
      <c r="S9" s="287">
        <v>33</v>
      </c>
      <c r="T9" s="287">
        <v>25</v>
      </c>
      <c r="U9" s="287">
        <v>44</v>
      </c>
      <c r="V9" s="287">
        <v>24</v>
      </c>
      <c r="W9" s="288">
        <v>13</v>
      </c>
      <c r="X9" s="288">
        <v>25</v>
      </c>
      <c r="Y9" s="288">
        <v>37</v>
      </c>
      <c r="AA9" s="77"/>
      <c r="AB9" s="77"/>
      <c r="AC9" s="77"/>
    </row>
    <row r="10" spans="1:29" hidden="1" x14ac:dyDescent="0.25">
      <c r="A10" s="57">
        <v>40</v>
      </c>
      <c r="B10" s="57">
        <v>45</v>
      </c>
      <c r="C10" s="278">
        <v>21</v>
      </c>
      <c r="D10" s="278">
        <v>14</v>
      </c>
      <c r="E10" s="279">
        <v>29</v>
      </c>
      <c r="F10" s="278">
        <v>13</v>
      </c>
      <c r="G10" s="28">
        <f>(G9+G11)/2</f>
        <v>40</v>
      </c>
      <c r="H10" s="28">
        <f>(H9+H11)/2</f>
        <v>30.5</v>
      </c>
      <c r="I10" s="28">
        <f>(I9+I11)/2</f>
        <v>54</v>
      </c>
      <c r="J10" s="28">
        <f>(J9+J11)/2</f>
        <v>29</v>
      </c>
      <c r="K10" s="339">
        <v>18</v>
      </c>
      <c r="L10" s="339">
        <v>33</v>
      </c>
      <c r="M10" s="339">
        <v>49</v>
      </c>
      <c r="N10" s="339">
        <v>18</v>
      </c>
      <c r="O10" s="339">
        <v>13</v>
      </c>
      <c r="P10" s="280"/>
      <c r="Q10" s="280">
        <v>26</v>
      </c>
      <c r="R10" s="280">
        <v>12</v>
      </c>
      <c r="S10" s="28">
        <f>(S9+S11)/2</f>
        <v>36.5</v>
      </c>
      <c r="T10" s="28">
        <f>(T9+T11)/2</f>
        <v>28</v>
      </c>
      <c r="U10" s="28">
        <f>(U9+U11)/2</f>
        <v>49</v>
      </c>
      <c r="V10" s="28">
        <f>(V9+V11)/2</f>
        <v>26.5</v>
      </c>
      <c r="W10" s="288">
        <v>15</v>
      </c>
      <c r="X10" s="288">
        <v>29</v>
      </c>
      <c r="Y10" s="288">
        <v>44</v>
      </c>
      <c r="AA10" s="77"/>
      <c r="AB10" s="77"/>
      <c r="AC10" s="77"/>
    </row>
    <row r="11" spans="1:29" hidden="1" x14ac:dyDescent="0.25">
      <c r="A11" s="57">
        <v>50</v>
      </c>
      <c r="B11" s="57">
        <v>57</v>
      </c>
      <c r="C11" s="278">
        <v>22</v>
      </c>
      <c r="D11" s="278">
        <v>15</v>
      </c>
      <c r="E11" s="279">
        <v>33</v>
      </c>
      <c r="F11" s="278">
        <v>14</v>
      </c>
      <c r="G11" s="77">
        <v>44</v>
      </c>
      <c r="H11" s="77">
        <v>34</v>
      </c>
      <c r="I11" s="77">
        <v>60</v>
      </c>
      <c r="J11" s="28">
        <v>32</v>
      </c>
      <c r="K11" s="339">
        <v>19</v>
      </c>
      <c r="L11" s="339">
        <v>39</v>
      </c>
      <c r="M11" s="339">
        <v>53</v>
      </c>
      <c r="N11" s="339">
        <v>20</v>
      </c>
      <c r="O11" s="339">
        <v>14</v>
      </c>
      <c r="P11" s="280"/>
      <c r="Q11" s="280">
        <v>28</v>
      </c>
      <c r="R11" s="280">
        <v>13</v>
      </c>
      <c r="S11" s="287">
        <v>40</v>
      </c>
      <c r="T11" s="287">
        <v>31</v>
      </c>
      <c r="U11" s="287">
        <v>54</v>
      </c>
      <c r="V11" s="287">
        <v>29</v>
      </c>
      <c r="W11" s="288">
        <v>17</v>
      </c>
      <c r="X11" s="288">
        <v>31</v>
      </c>
      <c r="Y11" s="288">
        <v>47</v>
      </c>
      <c r="AA11" s="77"/>
      <c r="AB11" s="77"/>
      <c r="AC11" s="77"/>
    </row>
    <row r="12" spans="1:29" hidden="1" x14ac:dyDescent="0.25">
      <c r="A12" s="57">
        <v>65</v>
      </c>
      <c r="B12" s="58">
        <v>76</v>
      </c>
      <c r="C12" s="278">
        <v>27</v>
      </c>
      <c r="D12" s="278">
        <v>19</v>
      </c>
      <c r="E12" s="279">
        <v>38</v>
      </c>
      <c r="F12" s="278">
        <v>16</v>
      </c>
      <c r="G12" s="77">
        <v>50</v>
      </c>
      <c r="H12" s="77">
        <v>38</v>
      </c>
      <c r="I12" s="77">
        <v>67</v>
      </c>
      <c r="J12" s="28">
        <v>36</v>
      </c>
      <c r="K12" s="339">
        <v>23</v>
      </c>
      <c r="L12" s="339">
        <v>41</v>
      </c>
      <c r="M12" s="339">
        <v>61</v>
      </c>
      <c r="N12" s="339">
        <v>23</v>
      </c>
      <c r="O12" s="339">
        <v>16</v>
      </c>
      <c r="P12" s="280"/>
      <c r="Q12" s="280">
        <v>34</v>
      </c>
      <c r="R12" s="280">
        <v>15</v>
      </c>
      <c r="S12" s="287">
        <v>45</v>
      </c>
      <c r="T12" s="287">
        <v>34</v>
      </c>
      <c r="U12" s="287">
        <v>60</v>
      </c>
      <c r="V12" s="287">
        <v>33</v>
      </c>
      <c r="W12" s="288">
        <v>19</v>
      </c>
      <c r="X12" s="288">
        <v>36</v>
      </c>
      <c r="Y12" s="288">
        <v>54</v>
      </c>
      <c r="AA12" s="77"/>
      <c r="AB12" s="77"/>
      <c r="AC12" s="77"/>
    </row>
    <row r="13" spans="1:29" hidden="1" x14ac:dyDescent="0.25">
      <c r="A13" s="57">
        <v>80</v>
      </c>
      <c r="B13" s="57">
        <v>89</v>
      </c>
      <c r="C13" s="278">
        <v>29</v>
      </c>
      <c r="D13" s="278">
        <v>22</v>
      </c>
      <c r="E13" s="279">
        <v>41</v>
      </c>
      <c r="F13" s="278">
        <v>17</v>
      </c>
      <c r="G13" s="77">
        <v>51</v>
      </c>
      <c r="H13" s="77">
        <v>39</v>
      </c>
      <c r="I13" s="77">
        <v>69</v>
      </c>
      <c r="J13" s="28">
        <v>37</v>
      </c>
      <c r="K13" s="339">
        <v>25</v>
      </c>
      <c r="L13" s="339">
        <v>45</v>
      </c>
      <c r="M13" s="339">
        <v>66</v>
      </c>
      <c r="N13" s="339">
        <v>25</v>
      </c>
      <c r="O13" s="339">
        <v>17</v>
      </c>
      <c r="P13" s="280"/>
      <c r="Q13" s="280">
        <v>36</v>
      </c>
      <c r="R13" s="280">
        <v>16</v>
      </c>
      <c r="S13" s="287">
        <v>46</v>
      </c>
      <c r="T13" s="287">
        <v>35</v>
      </c>
      <c r="U13" s="287">
        <v>61</v>
      </c>
      <c r="V13" s="287">
        <v>34</v>
      </c>
      <c r="W13" s="288">
        <v>21</v>
      </c>
      <c r="X13" s="288">
        <v>39</v>
      </c>
      <c r="Y13" s="288">
        <v>58</v>
      </c>
      <c r="AA13" s="77"/>
      <c r="AB13" s="77"/>
      <c r="AC13" s="77"/>
    </row>
    <row r="14" spans="1:29" hidden="1" x14ac:dyDescent="0.25">
      <c r="A14" s="57">
        <v>100</v>
      </c>
      <c r="B14" s="57">
        <v>108</v>
      </c>
      <c r="C14" s="278">
        <v>33</v>
      </c>
      <c r="D14" s="278">
        <v>22</v>
      </c>
      <c r="E14" s="279">
        <v>46</v>
      </c>
      <c r="F14" s="278">
        <v>19</v>
      </c>
      <c r="G14" s="77">
        <v>55</v>
      </c>
      <c r="H14" s="77">
        <v>42</v>
      </c>
      <c r="I14" s="77">
        <v>74</v>
      </c>
      <c r="J14" s="28">
        <v>40</v>
      </c>
      <c r="K14" s="339">
        <v>28</v>
      </c>
      <c r="L14" s="339">
        <v>50</v>
      </c>
      <c r="M14" s="339">
        <v>73</v>
      </c>
      <c r="N14" s="339">
        <v>28</v>
      </c>
      <c r="O14" s="339">
        <v>19</v>
      </c>
      <c r="P14" s="280"/>
      <c r="Q14" s="280">
        <v>41</v>
      </c>
      <c r="R14" s="280">
        <v>17</v>
      </c>
      <c r="S14" s="287">
        <v>49</v>
      </c>
      <c r="T14" s="287">
        <v>38</v>
      </c>
      <c r="U14" s="287">
        <v>65</v>
      </c>
      <c r="V14" s="287">
        <v>35</v>
      </c>
      <c r="W14" s="288">
        <v>24</v>
      </c>
      <c r="X14" s="288">
        <v>43</v>
      </c>
      <c r="Y14" s="288">
        <v>64</v>
      </c>
      <c r="AA14" s="77"/>
      <c r="AB14" s="77"/>
      <c r="AC14" s="77"/>
    </row>
    <row r="15" spans="1:29" hidden="1" x14ac:dyDescent="0.25">
      <c r="A15" s="57">
        <v>125</v>
      </c>
      <c r="B15" s="57">
        <v>133</v>
      </c>
      <c r="C15" s="278">
        <v>34</v>
      </c>
      <c r="D15" s="278">
        <v>23</v>
      </c>
      <c r="E15" s="279">
        <v>49</v>
      </c>
      <c r="F15" s="278">
        <v>20</v>
      </c>
      <c r="G15" s="77">
        <v>61</v>
      </c>
      <c r="H15" s="77">
        <v>46</v>
      </c>
      <c r="I15" s="77">
        <v>81</v>
      </c>
      <c r="J15" s="28">
        <v>44</v>
      </c>
      <c r="K15" s="339">
        <v>32</v>
      </c>
      <c r="L15" s="339">
        <v>55</v>
      </c>
      <c r="M15" s="339">
        <v>81</v>
      </c>
      <c r="N15" s="339">
        <v>31</v>
      </c>
      <c r="O15" s="339">
        <v>21</v>
      </c>
      <c r="P15" s="280"/>
      <c r="Q15" s="280">
        <v>42</v>
      </c>
      <c r="R15" s="280">
        <v>18</v>
      </c>
      <c r="S15" s="287">
        <v>53</v>
      </c>
      <c r="T15" s="287">
        <v>41</v>
      </c>
      <c r="U15" s="287">
        <v>72</v>
      </c>
      <c r="V15" s="287">
        <v>39</v>
      </c>
      <c r="W15" s="288">
        <v>27</v>
      </c>
      <c r="X15" s="288">
        <v>49</v>
      </c>
      <c r="Y15" s="288">
        <v>70</v>
      </c>
      <c r="AA15" s="77"/>
      <c r="AB15" s="77"/>
      <c r="AC15" s="77"/>
    </row>
    <row r="16" spans="1:29" hidden="1" x14ac:dyDescent="0.25">
      <c r="A16" s="57">
        <v>150</v>
      </c>
      <c r="B16" s="57">
        <v>159</v>
      </c>
      <c r="C16" s="278">
        <v>38</v>
      </c>
      <c r="D16" s="278">
        <v>26</v>
      </c>
      <c r="E16" s="279">
        <v>54</v>
      </c>
      <c r="F16" s="278">
        <v>22</v>
      </c>
      <c r="G16" s="77">
        <v>69</v>
      </c>
      <c r="H16" s="77">
        <v>52</v>
      </c>
      <c r="I16" s="77">
        <v>91</v>
      </c>
      <c r="J16" s="28">
        <v>49</v>
      </c>
      <c r="K16" s="339">
        <v>35</v>
      </c>
      <c r="L16" s="339">
        <v>63</v>
      </c>
      <c r="M16" s="339">
        <v>89</v>
      </c>
      <c r="N16" s="339">
        <v>32</v>
      </c>
      <c r="O16" s="339">
        <v>22</v>
      </c>
      <c r="P16" s="280"/>
      <c r="Q16" s="280">
        <v>44</v>
      </c>
      <c r="R16" s="280">
        <v>19</v>
      </c>
      <c r="S16" s="287">
        <v>60</v>
      </c>
      <c r="T16" s="287">
        <v>46</v>
      </c>
      <c r="U16" s="287">
        <v>80</v>
      </c>
      <c r="V16" s="287">
        <v>43</v>
      </c>
      <c r="W16" s="288">
        <v>30</v>
      </c>
      <c r="X16" s="288">
        <v>54</v>
      </c>
      <c r="Y16" s="288">
        <v>77</v>
      </c>
      <c r="AA16" s="77"/>
      <c r="AB16" s="77"/>
      <c r="AC16" s="77"/>
    </row>
    <row r="17" spans="1:98" hidden="1" x14ac:dyDescent="0.25">
      <c r="A17" s="57">
        <v>200</v>
      </c>
      <c r="B17" s="57">
        <v>219</v>
      </c>
      <c r="C17" s="278">
        <v>48</v>
      </c>
      <c r="D17" s="278">
        <v>31</v>
      </c>
      <c r="E17" s="279">
        <v>66</v>
      </c>
      <c r="F17" s="278">
        <v>26</v>
      </c>
      <c r="G17" s="77">
        <v>77</v>
      </c>
      <c r="H17" s="77">
        <v>59</v>
      </c>
      <c r="I17" s="77">
        <v>101</v>
      </c>
      <c r="J17" s="28">
        <v>54</v>
      </c>
      <c r="K17" s="339">
        <v>44</v>
      </c>
      <c r="L17" s="339">
        <v>77</v>
      </c>
      <c r="M17" s="339">
        <v>109</v>
      </c>
      <c r="N17" s="339">
        <v>39</v>
      </c>
      <c r="O17" s="339">
        <v>27</v>
      </c>
      <c r="P17" s="280"/>
      <c r="Q17" s="280">
        <v>54</v>
      </c>
      <c r="R17" s="280">
        <v>22</v>
      </c>
      <c r="S17" s="287">
        <v>66</v>
      </c>
      <c r="T17" s="287">
        <v>50</v>
      </c>
      <c r="U17" s="287">
        <v>89</v>
      </c>
      <c r="V17" s="287">
        <v>48</v>
      </c>
      <c r="W17" s="288">
        <v>37</v>
      </c>
      <c r="X17" s="288">
        <v>65</v>
      </c>
      <c r="Y17" s="288">
        <v>93</v>
      </c>
      <c r="AA17" s="77"/>
      <c r="AB17" s="77"/>
      <c r="AC17" s="77"/>
    </row>
    <row r="18" spans="1:98" hidden="1" x14ac:dyDescent="0.25">
      <c r="A18" s="57">
        <v>250</v>
      </c>
      <c r="B18" s="57">
        <v>273</v>
      </c>
      <c r="C18" s="278">
        <v>54</v>
      </c>
      <c r="D18" s="278">
        <v>35</v>
      </c>
      <c r="E18" s="279">
        <v>76</v>
      </c>
      <c r="F18" s="278">
        <v>29</v>
      </c>
      <c r="G18" s="77">
        <v>83</v>
      </c>
      <c r="H18" s="77">
        <v>63</v>
      </c>
      <c r="I18" s="77">
        <v>111</v>
      </c>
      <c r="J18" s="28">
        <v>59</v>
      </c>
      <c r="K18" s="339">
        <v>51</v>
      </c>
      <c r="L18" s="339">
        <v>88</v>
      </c>
      <c r="M18" s="339">
        <v>125</v>
      </c>
      <c r="N18" s="339">
        <v>45</v>
      </c>
      <c r="O18" s="339">
        <v>30</v>
      </c>
      <c r="P18" s="280"/>
      <c r="Q18" s="280">
        <v>64</v>
      </c>
      <c r="R18" s="280">
        <v>25</v>
      </c>
      <c r="S18" s="287">
        <v>72</v>
      </c>
      <c r="T18" s="287">
        <v>55</v>
      </c>
      <c r="U18" s="287">
        <v>96</v>
      </c>
      <c r="V18" s="287">
        <v>51</v>
      </c>
      <c r="W18" s="288">
        <v>43</v>
      </c>
      <c r="X18" s="288">
        <v>75</v>
      </c>
      <c r="Y18" s="288">
        <v>106</v>
      </c>
      <c r="AA18" s="77"/>
      <c r="AB18" s="77"/>
      <c r="AC18" s="77"/>
    </row>
    <row r="19" spans="1:98" hidden="1" x14ac:dyDescent="0.25">
      <c r="A19" s="57">
        <v>300</v>
      </c>
      <c r="B19" s="57">
        <v>325</v>
      </c>
      <c r="C19" s="278">
        <v>62</v>
      </c>
      <c r="D19" s="278">
        <v>40</v>
      </c>
      <c r="E19" s="279">
        <v>87</v>
      </c>
      <c r="F19" s="278">
        <v>32</v>
      </c>
      <c r="G19" s="77">
        <v>91</v>
      </c>
      <c r="H19" s="77">
        <v>69</v>
      </c>
      <c r="I19" s="77">
        <v>122</v>
      </c>
      <c r="J19" s="28">
        <v>64</v>
      </c>
      <c r="K19" s="339">
        <v>59</v>
      </c>
      <c r="L19" s="339">
        <v>101</v>
      </c>
      <c r="M19" s="339">
        <v>140</v>
      </c>
      <c r="N19" s="339">
        <v>50</v>
      </c>
      <c r="O19" s="339">
        <v>33</v>
      </c>
      <c r="P19" s="280"/>
      <c r="Q19" s="280">
        <v>70</v>
      </c>
      <c r="R19" s="280">
        <v>28</v>
      </c>
      <c r="S19" s="287">
        <v>79</v>
      </c>
      <c r="T19" s="287">
        <v>59</v>
      </c>
      <c r="U19" s="287">
        <v>105</v>
      </c>
      <c r="V19" s="287">
        <v>56</v>
      </c>
      <c r="W19" s="288">
        <v>49</v>
      </c>
      <c r="X19" s="288">
        <v>84</v>
      </c>
      <c r="Y19" s="288">
        <v>118</v>
      </c>
      <c r="AA19" s="77"/>
      <c r="AB19" s="77"/>
      <c r="AC19" s="77"/>
    </row>
    <row r="20" spans="1:98" hidden="1" x14ac:dyDescent="0.25">
      <c r="A20" s="57">
        <v>350</v>
      </c>
      <c r="B20" s="57">
        <v>377</v>
      </c>
      <c r="C20" s="278">
        <v>68</v>
      </c>
      <c r="D20" s="278">
        <v>44</v>
      </c>
      <c r="E20" s="279">
        <v>93</v>
      </c>
      <c r="F20" s="278">
        <v>34</v>
      </c>
      <c r="G20" s="77">
        <v>101</v>
      </c>
      <c r="H20" s="77">
        <v>75</v>
      </c>
      <c r="I20" s="77">
        <v>133</v>
      </c>
      <c r="J20" s="28">
        <v>69</v>
      </c>
      <c r="K20" s="339">
        <v>66</v>
      </c>
      <c r="L20" s="339">
        <v>112</v>
      </c>
      <c r="M20" s="339">
        <v>155</v>
      </c>
      <c r="N20" s="339">
        <v>55</v>
      </c>
      <c r="O20" s="339">
        <v>37</v>
      </c>
      <c r="P20" s="280"/>
      <c r="Q20" s="280">
        <v>75</v>
      </c>
      <c r="R20" s="280">
        <v>30</v>
      </c>
      <c r="S20" s="287">
        <v>86</v>
      </c>
      <c r="T20" s="287">
        <v>65</v>
      </c>
      <c r="U20" s="287">
        <v>113</v>
      </c>
      <c r="V20" s="287">
        <v>60</v>
      </c>
      <c r="W20" s="288">
        <v>55</v>
      </c>
      <c r="X20" s="288">
        <v>93</v>
      </c>
      <c r="Y20" s="288">
        <v>131</v>
      </c>
      <c r="AA20" s="77"/>
      <c r="AB20" s="77"/>
      <c r="AC20" s="77"/>
    </row>
    <row r="21" spans="1:98" hidden="1" x14ac:dyDescent="0.25">
      <c r="A21" s="57">
        <v>400</v>
      </c>
      <c r="B21" s="57">
        <v>426</v>
      </c>
      <c r="C21" s="278">
        <v>76</v>
      </c>
      <c r="D21" s="278">
        <v>47</v>
      </c>
      <c r="E21" s="279">
        <v>109</v>
      </c>
      <c r="F21" s="278">
        <v>37</v>
      </c>
      <c r="G21" s="77">
        <v>108</v>
      </c>
      <c r="H21" s="77">
        <v>80</v>
      </c>
      <c r="I21" s="77">
        <v>140</v>
      </c>
      <c r="J21" s="28">
        <v>73</v>
      </c>
      <c r="K21" s="339">
        <v>73</v>
      </c>
      <c r="L21" s="339">
        <v>122</v>
      </c>
      <c r="M21" s="339">
        <v>170</v>
      </c>
      <c r="N21" s="339">
        <v>58</v>
      </c>
      <c r="O21" s="339">
        <v>38</v>
      </c>
      <c r="P21" s="280"/>
      <c r="Q21" s="280">
        <v>82</v>
      </c>
      <c r="R21" s="280">
        <v>33</v>
      </c>
      <c r="S21" s="287">
        <v>91</v>
      </c>
      <c r="T21" s="287">
        <v>68</v>
      </c>
      <c r="U21" s="287">
        <v>121</v>
      </c>
      <c r="V21" s="287">
        <v>63</v>
      </c>
      <c r="W21" s="288">
        <v>61</v>
      </c>
      <c r="X21" s="288">
        <v>102</v>
      </c>
      <c r="Y21" s="288">
        <v>142</v>
      </c>
      <c r="AA21" s="77"/>
      <c r="AB21" s="77"/>
      <c r="AC21" s="77"/>
    </row>
    <row r="22" spans="1:98" hidden="1" x14ac:dyDescent="0.25">
      <c r="A22" s="57">
        <v>450</v>
      </c>
      <c r="B22" s="57">
        <v>478</v>
      </c>
      <c r="C22" s="278">
        <v>77</v>
      </c>
      <c r="D22" s="278">
        <v>49</v>
      </c>
      <c r="E22" s="279">
        <v>112</v>
      </c>
      <c r="F22" s="278">
        <v>39</v>
      </c>
      <c r="G22" s="77">
        <v>116</v>
      </c>
      <c r="H22" s="77">
        <v>86</v>
      </c>
      <c r="I22" s="77">
        <v>151</v>
      </c>
      <c r="J22" s="28">
        <v>78</v>
      </c>
      <c r="K22" s="339">
        <v>80</v>
      </c>
      <c r="L22" s="339">
        <v>132</v>
      </c>
      <c r="M22" s="339">
        <v>182</v>
      </c>
      <c r="N22" s="339">
        <v>67</v>
      </c>
      <c r="O22" s="339">
        <v>43</v>
      </c>
      <c r="P22" s="280"/>
      <c r="Q22" s="280">
        <v>93</v>
      </c>
      <c r="R22" s="280">
        <v>36</v>
      </c>
      <c r="S22" s="287">
        <v>97</v>
      </c>
      <c r="T22" s="287">
        <v>72</v>
      </c>
      <c r="U22" s="287">
        <v>129</v>
      </c>
      <c r="V22" s="287">
        <v>67</v>
      </c>
      <c r="W22" s="288">
        <v>65</v>
      </c>
      <c r="X22" s="288">
        <v>109</v>
      </c>
      <c r="Y22" s="288">
        <v>152</v>
      </c>
      <c r="AA22" s="77"/>
      <c r="AB22" s="77"/>
      <c r="AC22" s="77"/>
    </row>
    <row r="23" spans="1:98" hidden="1" x14ac:dyDescent="0.25">
      <c r="A23" s="57">
        <v>500</v>
      </c>
      <c r="B23" s="57">
        <v>529</v>
      </c>
      <c r="C23" s="278">
        <v>88</v>
      </c>
      <c r="D23" s="278">
        <v>54</v>
      </c>
      <c r="E23" s="279">
        <v>125</v>
      </c>
      <c r="F23" s="278">
        <v>43</v>
      </c>
      <c r="G23" s="77">
        <v>123</v>
      </c>
      <c r="H23" s="77">
        <v>91</v>
      </c>
      <c r="I23" s="77">
        <v>163</v>
      </c>
      <c r="J23" s="28">
        <v>83</v>
      </c>
      <c r="K23" s="339">
        <v>88</v>
      </c>
      <c r="L23" s="339">
        <v>143</v>
      </c>
      <c r="M23" s="339">
        <v>197</v>
      </c>
      <c r="N23" s="339">
        <v>68</v>
      </c>
      <c r="O23" s="339">
        <v>44</v>
      </c>
      <c r="P23" s="280"/>
      <c r="Q23" s="280">
        <v>98</v>
      </c>
      <c r="R23" s="280">
        <v>38</v>
      </c>
      <c r="S23" s="287">
        <v>105</v>
      </c>
      <c r="T23" s="287">
        <v>78</v>
      </c>
      <c r="U23" s="287">
        <v>138</v>
      </c>
      <c r="V23" s="287">
        <v>72</v>
      </c>
      <c r="W23" s="288">
        <v>71</v>
      </c>
      <c r="X23" s="288">
        <v>119</v>
      </c>
      <c r="Y23" s="288">
        <v>166</v>
      </c>
      <c r="AA23" s="77"/>
      <c r="AB23" s="77"/>
      <c r="AC23" s="77"/>
    </row>
    <row r="24" spans="1:98" hidden="1" x14ac:dyDescent="0.25">
      <c r="A24" s="57">
        <v>600</v>
      </c>
      <c r="B24" s="57">
        <v>630</v>
      </c>
      <c r="C24" s="278">
        <v>98</v>
      </c>
      <c r="D24" s="278">
        <v>58</v>
      </c>
      <c r="E24" s="279">
        <v>140</v>
      </c>
      <c r="F24" s="278">
        <v>45</v>
      </c>
      <c r="G24" s="77">
        <v>140</v>
      </c>
      <c r="H24" s="77">
        <v>103</v>
      </c>
      <c r="I24" s="77">
        <v>186</v>
      </c>
      <c r="J24" s="28">
        <v>94</v>
      </c>
      <c r="K24" s="339">
        <v>100</v>
      </c>
      <c r="L24" s="339">
        <v>165</v>
      </c>
      <c r="M24" s="339">
        <v>225</v>
      </c>
      <c r="N24" s="339">
        <v>79</v>
      </c>
      <c r="O24" s="339">
        <v>50</v>
      </c>
      <c r="P24" s="280"/>
      <c r="Q24" s="280">
        <v>109</v>
      </c>
      <c r="R24" s="280">
        <v>41</v>
      </c>
      <c r="S24" s="287">
        <v>117</v>
      </c>
      <c r="T24" s="287">
        <v>87</v>
      </c>
      <c r="U24" s="287">
        <v>156</v>
      </c>
      <c r="V24" s="287">
        <v>80</v>
      </c>
      <c r="W24" s="288">
        <v>82</v>
      </c>
      <c r="X24" s="288">
        <v>130</v>
      </c>
      <c r="Y24" s="288">
        <v>188</v>
      </c>
      <c r="AA24" s="77"/>
      <c r="AB24" s="77"/>
      <c r="AC24" s="77"/>
    </row>
    <row r="25" spans="1:98" hidden="1" x14ac:dyDescent="0.25">
      <c r="A25" s="57">
        <v>700</v>
      </c>
      <c r="B25" s="57">
        <v>720</v>
      </c>
      <c r="C25" s="278">
        <v>107</v>
      </c>
      <c r="D25" s="278">
        <v>63</v>
      </c>
      <c r="E25" s="279">
        <v>163</v>
      </c>
      <c r="F25" s="278">
        <v>47</v>
      </c>
      <c r="G25" s="77">
        <v>156</v>
      </c>
      <c r="H25" s="77">
        <v>112</v>
      </c>
      <c r="I25" s="77">
        <v>203</v>
      </c>
      <c r="J25" s="28">
        <v>100</v>
      </c>
      <c r="K25" s="339">
        <v>114</v>
      </c>
      <c r="L25" s="339">
        <v>184</v>
      </c>
      <c r="M25" s="339">
        <v>250</v>
      </c>
      <c r="N25" s="339">
        <v>89</v>
      </c>
      <c r="O25" s="339">
        <v>55</v>
      </c>
      <c r="P25" s="280"/>
      <c r="Q25" s="280">
        <v>126</v>
      </c>
      <c r="R25" s="280">
        <v>43</v>
      </c>
      <c r="S25" s="287">
        <v>126</v>
      </c>
      <c r="T25" s="287">
        <v>93</v>
      </c>
      <c r="U25" s="287">
        <v>170</v>
      </c>
      <c r="V25" s="287">
        <v>86</v>
      </c>
      <c r="W25" s="288">
        <v>92</v>
      </c>
      <c r="X25" s="288">
        <v>151</v>
      </c>
      <c r="Y25" s="288">
        <v>209</v>
      </c>
      <c r="AA25" s="77"/>
      <c r="AB25" s="77"/>
      <c r="AC25" s="77"/>
    </row>
    <row r="26" spans="1:98" hidden="1" x14ac:dyDescent="0.25">
      <c r="A26" s="57">
        <v>800</v>
      </c>
      <c r="B26" s="57">
        <v>820</v>
      </c>
      <c r="C26" s="278">
        <v>130</v>
      </c>
      <c r="D26" s="278">
        <v>72</v>
      </c>
      <c r="E26" s="279">
        <v>181</v>
      </c>
      <c r="F26" s="278">
        <v>48</v>
      </c>
      <c r="G26" s="77">
        <v>169</v>
      </c>
      <c r="H26" s="77">
        <v>122</v>
      </c>
      <c r="I26" s="77">
        <v>226</v>
      </c>
      <c r="J26" s="28">
        <v>109</v>
      </c>
      <c r="K26" s="339">
        <v>128</v>
      </c>
      <c r="L26" s="339">
        <v>205</v>
      </c>
      <c r="M26" s="339">
        <v>278</v>
      </c>
      <c r="N26" s="339">
        <v>100</v>
      </c>
      <c r="O26" s="339">
        <v>60</v>
      </c>
      <c r="P26" s="280"/>
      <c r="Q26" s="280">
        <v>140</v>
      </c>
      <c r="R26" s="280">
        <v>45</v>
      </c>
      <c r="S26" s="287">
        <v>140</v>
      </c>
      <c r="T26" s="287">
        <v>102</v>
      </c>
      <c r="U26" s="287">
        <v>186</v>
      </c>
      <c r="V26" s="287">
        <v>93</v>
      </c>
      <c r="W26" s="288">
        <v>103</v>
      </c>
      <c r="X26" s="288">
        <v>167</v>
      </c>
      <c r="Y26" s="288">
        <v>213</v>
      </c>
      <c r="AA26" s="77"/>
      <c r="AB26" s="77"/>
      <c r="AC26" s="77"/>
    </row>
    <row r="27" spans="1:98" hidden="1" x14ac:dyDescent="0.25">
      <c r="A27" s="57">
        <v>900</v>
      </c>
      <c r="B27" s="57">
        <v>920</v>
      </c>
      <c r="C27" s="278">
        <v>138</v>
      </c>
      <c r="D27" s="278">
        <v>75</v>
      </c>
      <c r="E27" s="279">
        <v>190</v>
      </c>
      <c r="F27" s="278">
        <v>57</v>
      </c>
      <c r="G27" s="77"/>
      <c r="H27" s="77"/>
      <c r="I27" s="77"/>
      <c r="J27" s="28"/>
      <c r="K27" s="339">
        <v>141</v>
      </c>
      <c r="L27" s="339">
        <v>226</v>
      </c>
      <c r="M27" s="339">
        <v>306</v>
      </c>
      <c r="N27" s="339">
        <v>106</v>
      </c>
      <c r="O27" s="339">
        <v>66</v>
      </c>
      <c r="P27" s="280"/>
      <c r="Q27" s="280">
        <v>151</v>
      </c>
      <c r="R27" s="280">
        <v>54</v>
      </c>
      <c r="S27" s="287"/>
      <c r="T27" s="287"/>
      <c r="U27" s="287"/>
      <c r="V27" s="287"/>
      <c r="W27" s="288">
        <v>113</v>
      </c>
      <c r="X27" s="288">
        <v>184</v>
      </c>
      <c r="Y27" s="288">
        <v>253</v>
      </c>
      <c r="AA27" s="77"/>
      <c r="AB27" s="77"/>
      <c r="AC27" s="77"/>
    </row>
    <row r="28" spans="1:98" hidden="1" x14ac:dyDescent="0.25">
      <c r="A28" s="57">
        <v>1000</v>
      </c>
      <c r="B28" s="57">
        <v>1020</v>
      </c>
      <c r="C28" s="278">
        <v>152</v>
      </c>
      <c r="D28" s="278">
        <v>78</v>
      </c>
      <c r="E28" s="279">
        <v>199</v>
      </c>
      <c r="F28" s="278">
        <v>59</v>
      </c>
      <c r="G28" s="77"/>
      <c r="H28" s="77"/>
      <c r="I28" s="77"/>
      <c r="J28" s="28"/>
      <c r="K28" s="339">
        <v>155</v>
      </c>
      <c r="L28" s="339">
        <v>247</v>
      </c>
      <c r="M28" s="339">
        <v>333</v>
      </c>
      <c r="N28" s="339">
        <v>117</v>
      </c>
      <c r="O28" s="339">
        <v>71</v>
      </c>
      <c r="P28" s="280"/>
      <c r="Q28" s="280">
        <v>158</v>
      </c>
      <c r="R28" s="280">
        <v>57</v>
      </c>
      <c r="S28" s="287"/>
      <c r="T28" s="287"/>
      <c r="U28" s="287"/>
      <c r="V28" s="287"/>
      <c r="W28" s="288">
        <v>124</v>
      </c>
      <c r="X28" s="288">
        <v>201</v>
      </c>
      <c r="Y28" s="288">
        <v>275</v>
      </c>
    </row>
    <row r="30" spans="1:98" s="59" customFormat="1" ht="15.75" thickBot="1" x14ac:dyDescent="0.3">
      <c r="A30" s="462"/>
      <c r="B30" s="462"/>
      <c r="C30" s="462"/>
      <c r="D30" s="462"/>
      <c r="E30" s="462"/>
      <c r="F30" s="462"/>
      <c r="G30" s="462"/>
      <c r="H30" s="462"/>
      <c r="I30" s="463"/>
      <c r="J30" s="463"/>
      <c r="K30" s="340"/>
      <c r="L30" s="340"/>
      <c r="M30" s="340"/>
      <c r="N30" s="341"/>
      <c r="O30" s="342"/>
      <c r="P30" s="78"/>
      <c r="Q30" s="79"/>
    </row>
    <row r="31" spans="1:98" ht="62.25" customHeight="1" x14ac:dyDescent="0.25">
      <c r="A31" s="464" t="s">
        <v>23</v>
      </c>
      <c r="B31" s="465"/>
      <c r="C31" s="465"/>
      <c r="D31" s="465"/>
      <c r="E31" s="465"/>
      <c r="F31" s="465"/>
      <c r="G31" s="465"/>
      <c r="H31" s="466"/>
      <c r="I31" s="166" t="s">
        <v>24</v>
      </c>
      <c r="J31" s="167" t="s">
        <v>25</v>
      </c>
      <c r="K31" s="467"/>
      <c r="L31" s="467"/>
      <c r="M31" s="467"/>
      <c r="N31" s="467"/>
      <c r="O31" s="467"/>
      <c r="P31" s="163"/>
      <c r="CQ31" s="539"/>
      <c r="CR31" s="540"/>
      <c r="CS31" s="540"/>
      <c r="CT31" s="540"/>
    </row>
    <row r="32" spans="1:98" x14ac:dyDescent="0.25">
      <c r="A32" s="484" t="s">
        <v>448</v>
      </c>
      <c r="B32" s="485"/>
      <c r="C32" s="485"/>
      <c r="D32" s="485"/>
      <c r="E32" s="485"/>
      <c r="F32" s="485"/>
      <c r="G32" s="485"/>
      <c r="H32" s="485"/>
      <c r="I32" s="106">
        <f>'темп граф'!C60</f>
        <v>8.3859436455176404</v>
      </c>
      <c r="J32" s="168">
        <f>'темп граф'!F61</f>
        <v>59.242047375724567</v>
      </c>
      <c r="K32" s="481"/>
      <c r="L32" s="481"/>
      <c r="M32" s="481"/>
      <c r="N32" s="481"/>
      <c r="O32" s="481"/>
      <c r="P32" s="163">
        <v>1</v>
      </c>
      <c r="Q32" s="80"/>
      <c r="CQ32" s="540"/>
      <c r="CR32" s="540"/>
      <c r="CS32" s="540"/>
      <c r="CT32" s="540"/>
    </row>
    <row r="33" spans="1:98" x14ac:dyDescent="0.25">
      <c r="A33" s="484" t="s">
        <v>78</v>
      </c>
      <c r="B33" s="485"/>
      <c r="C33" s="485"/>
      <c r="D33" s="485"/>
      <c r="E33" s="485"/>
      <c r="F33" s="485"/>
      <c r="G33" s="485"/>
      <c r="H33" s="485"/>
      <c r="I33" s="106">
        <f>'темп граф'!E60</f>
        <v>8.3859436455176404</v>
      </c>
      <c r="J33" s="168">
        <f>'темп граф'!H61</f>
        <v>43.160994744145619</v>
      </c>
      <c r="K33" s="481"/>
      <c r="L33" s="481"/>
      <c r="M33" s="481"/>
      <c r="N33" s="481"/>
      <c r="O33" s="481"/>
      <c r="P33" s="163">
        <v>1</v>
      </c>
      <c r="Q33" s="80"/>
      <c r="CQ33" s="540"/>
      <c r="CR33" s="540"/>
      <c r="CS33" s="540"/>
      <c r="CT33" s="540"/>
    </row>
    <row r="34" spans="1:98" ht="15" hidden="1" customHeight="1" x14ac:dyDescent="0.25">
      <c r="A34" s="482"/>
      <c r="B34" s="483"/>
      <c r="C34" s="483"/>
      <c r="D34" s="483"/>
      <c r="E34" s="483"/>
      <c r="F34" s="483"/>
      <c r="G34" s="483"/>
      <c r="H34" s="483"/>
      <c r="I34" s="27"/>
      <c r="J34" s="169"/>
      <c r="K34" s="481"/>
      <c r="L34" s="481"/>
      <c r="M34" s="481"/>
      <c r="N34" s="481"/>
      <c r="O34" s="481"/>
      <c r="P34" s="163">
        <v>1</v>
      </c>
      <c r="CQ34" s="540"/>
      <c r="CR34" s="540"/>
      <c r="CS34" s="540"/>
      <c r="CT34" s="540"/>
    </row>
    <row r="35" spans="1:98" x14ac:dyDescent="0.25">
      <c r="A35" s="479" t="s">
        <v>26</v>
      </c>
      <c r="B35" s="480"/>
      <c r="C35" s="480"/>
      <c r="D35" s="480"/>
      <c r="E35" s="480"/>
      <c r="F35" s="480"/>
      <c r="G35" s="480"/>
      <c r="H35" s="480"/>
      <c r="I35" s="109">
        <v>55</v>
      </c>
      <c r="J35" s="170"/>
      <c r="K35" s="481"/>
      <c r="L35" s="481"/>
      <c r="M35" s="481"/>
      <c r="N35" s="481"/>
      <c r="O35" s="481"/>
      <c r="P35" s="163">
        <v>1</v>
      </c>
      <c r="CQ35" s="540"/>
      <c r="CR35" s="540"/>
      <c r="CS35" s="540"/>
      <c r="CT35" s="540"/>
    </row>
    <row r="36" spans="1:98" x14ac:dyDescent="0.25">
      <c r="A36" s="479" t="s">
        <v>27</v>
      </c>
      <c r="B36" s="480"/>
      <c r="C36" s="480"/>
      <c r="D36" s="480"/>
      <c r="E36" s="480"/>
      <c r="F36" s="480"/>
      <c r="G36" s="480"/>
      <c r="H36" s="480"/>
      <c r="I36" s="109">
        <v>40</v>
      </c>
      <c r="J36" s="170"/>
      <c r="K36" s="481"/>
      <c r="L36" s="481"/>
      <c r="M36" s="481"/>
      <c r="N36" s="481"/>
      <c r="O36" s="481"/>
      <c r="P36" s="163">
        <v>1</v>
      </c>
      <c r="Q36" s="80"/>
      <c r="CQ36" s="540"/>
      <c r="CR36" s="540"/>
      <c r="CS36" s="540"/>
      <c r="CT36" s="540"/>
    </row>
    <row r="37" spans="1:98" x14ac:dyDescent="0.25">
      <c r="A37" s="479" t="s">
        <v>2</v>
      </c>
      <c r="B37" s="480"/>
      <c r="C37" s="480"/>
      <c r="D37" s="480"/>
      <c r="E37" s="480"/>
      <c r="F37" s="480"/>
      <c r="G37" s="480"/>
      <c r="H37" s="480"/>
      <c r="I37" s="26">
        <f>'темп граф'!B60</f>
        <v>0.54057142857142848</v>
      </c>
      <c r="J37" s="169">
        <f>'темп граф'!B61</f>
        <v>0.54057142857142859</v>
      </c>
      <c r="K37" s="481"/>
      <c r="L37" s="481"/>
      <c r="M37" s="481"/>
      <c r="N37" s="481"/>
      <c r="O37" s="481"/>
      <c r="P37" s="163">
        <v>1</v>
      </c>
      <c r="Q37" s="80"/>
      <c r="CQ37" s="540"/>
      <c r="CR37" s="540"/>
      <c r="CS37" s="540"/>
      <c r="CT37" s="540"/>
    </row>
    <row r="38" spans="1:98" x14ac:dyDescent="0.25">
      <c r="A38" s="479" t="s">
        <v>28</v>
      </c>
      <c r="B38" s="480"/>
      <c r="C38" s="480"/>
      <c r="D38" s="480"/>
      <c r="E38" s="480"/>
      <c r="F38" s="480"/>
      <c r="G38" s="480"/>
      <c r="H38" s="480"/>
      <c r="I38" s="100">
        <f>I41</f>
        <v>10</v>
      </c>
      <c r="J38" s="171">
        <f>J41</f>
        <v>5</v>
      </c>
      <c r="K38" s="481"/>
      <c r="L38" s="481"/>
      <c r="M38" s="481"/>
      <c r="N38" s="481"/>
      <c r="O38" s="481"/>
      <c r="P38" s="163">
        <v>1</v>
      </c>
    </row>
    <row r="39" spans="1:98" x14ac:dyDescent="0.25">
      <c r="A39" s="479" t="s">
        <v>29</v>
      </c>
      <c r="B39" s="480"/>
      <c r="C39" s="480"/>
      <c r="D39" s="480"/>
      <c r="E39" s="480"/>
      <c r="F39" s="480"/>
      <c r="G39" s="480"/>
      <c r="H39" s="480"/>
      <c r="I39" s="106">
        <f>'темп граф'!I60</f>
        <v>175</v>
      </c>
      <c r="J39" s="168">
        <f>'темп граф'!I61</f>
        <v>175</v>
      </c>
      <c r="K39" s="481"/>
      <c r="L39" s="481"/>
      <c r="M39" s="481"/>
      <c r="N39" s="481"/>
      <c r="O39" s="481"/>
      <c r="P39" s="163">
        <v>1</v>
      </c>
    </row>
    <row r="40" spans="1:98" ht="32.25" customHeight="1" x14ac:dyDescent="0.25">
      <c r="A40" s="486" t="s">
        <v>449</v>
      </c>
      <c r="B40" s="487"/>
      <c r="C40" s="487"/>
      <c r="D40" s="487"/>
      <c r="E40" s="487"/>
      <c r="F40" s="487"/>
      <c r="G40" s="487"/>
      <c r="H40" s="488"/>
      <c r="I40" s="379">
        <v>8.5</v>
      </c>
      <c r="J40" s="380">
        <v>-1</v>
      </c>
      <c r="K40" s="489"/>
      <c r="L40" s="490"/>
      <c r="M40" s="490"/>
      <c r="N40" s="490"/>
      <c r="O40" s="490"/>
      <c r="P40" s="163">
        <v>1</v>
      </c>
    </row>
    <row r="41" spans="1:98" ht="27" customHeight="1" thickBot="1" x14ac:dyDescent="0.3">
      <c r="A41" s="529" t="s">
        <v>450</v>
      </c>
      <c r="B41" s="530"/>
      <c r="C41" s="530"/>
      <c r="D41" s="530"/>
      <c r="E41" s="530"/>
      <c r="F41" s="530"/>
      <c r="G41" s="530"/>
      <c r="H41" s="531"/>
      <c r="I41" s="381">
        <v>10</v>
      </c>
      <c r="J41" s="382">
        <v>5</v>
      </c>
      <c r="K41" s="481"/>
      <c r="L41" s="481"/>
      <c r="M41" s="481"/>
      <c r="N41" s="481"/>
      <c r="O41" s="481"/>
      <c r="P41" s="163">
        <v>1</v>
      </c>
    </row>
    <row r="42" spans="1:98" x14ac:dyDescent="0.25">
      <c r="A42" s="532"/>
      <c r="B42" s="533"/>
      <c r="C42" s="533"/>
      <c r="D42" s="533"/>
      <c r="E42" s="533"/>
      <c r="F42" s="533"/>
      <c r="G42" s="533"/>
      <c r="H42" s="534"/>
      <c r="I42" s="164"/>
      <c r="J42" s="165"/>
    </row>
    <row r="43" spans="1:98" s="62" customFormat="1" ht="34.5" customHeight="1" thickBot="1" x14ac:dyDescent="0.3">
      <c r="A43" s="528" t="s">
        <v>67</v>
      </c>
      <c r="B43" s="528"/>
      <c r="C43" s="528"/>
      <c r="D43" s="528"/>
      <c r="E43" s="528"/>
      <c r="F43" s="528"/>
      <c r="G43" s="528"/>
      <c r="H43" s="528"/>
      <c r="I43" s="528"/>
      <c r="J43" s="528"/>
      <c r="K43" s="528"/>
      <c r="L43" s="528"/>
      <c r="M43" s="528"/>
      <c r="N43" s="528"/>
      <c r="O43" s="528"/>
      <c r="P43" s="528"/>
      <c r="Q43" s="82"/>
    </row>
    <row r="44" spans="1:98" s="30" customFormat="1" ht="98.25" customHeight="1" thickBot="1" x14ac:dyDescent="0.3">
      <c r="A44" s="303" t="s">
        <v>30</v>
      </c>
      <c r="B44" s="304" t="s">
        <v>31</v>
      </c>
      <c r="C44" s="304" t="s">
        <v>32</v>
      </c>
      <c r="D44" s="305" t="s">
        <v>33</v>
      </c>
      <c r="E44" s="535"/>
      <c r="F44" s="535"/>
      <c r="G44" s="303" t="s">
        <v>34</v>
      </c>
      <c r="H44" s="305" t="s">
        <v>35</v>
      </c>
      <c r="I44" s="537"/>
      <c r="J44" s="537"/>
      <c r="K44" s="343" t="s">
        <v>38</v>
      </c>
      <c r="L44" s="344" t="s">
        <v>39</v>
      </c>
      <c r="M44" s="538"/>
      <c r="N44" s="538"/>
      <c r="O44" s="345" t="s">
        <v>83</v>
      </c>
      <c r="P44" s="536"/>
      <c r="Q44" s="35"/>
    </row>
    <row r="45" spans="1:98" s="30" customFormat="1" ht="14.25" x14ac:dyDescent="0.25">
      <c r="A45" s="33" t="s">
        <v>44</v>
      </c>
      <c r="B45" s="33" t="s">
        <v>44</v>
      </c>
      <c r="C45" s="33" t="s">
        <v>45</v>
      </c>
      <c r="D45" s="33" t="s">
        <v>45</v>
      </c>
      <c r="E45" s="523"/>
      <c r="F45" s="524"/>
      <c r="G45" s="33" t="s">
        <v>46</v>
      </c>
      <c r="H45" s="33" t="s">
        <v>46</v>
      </c>
      <c r="I45" s="514"/>
      <c r="J45" s="515"/>
      <c r="K45" s="346" t="s">
        <v>17</v>
      </c>
      <c r="L45" s="346" t="s">
        <v>17</v>
      </c>
      <c r="M45" s="508"/>
      <c r="N45" s="509"/>
      <c r="O45" s="347" t="s">
        <v>47</v>
      </c>
      <c r="P45" s="519"/>
      <c r="Q45" s="35"/>
    </row>
    <row r="46" spans="1:98" s="60" customFormat="1" outlineLevel="1" x14ac:dyDescent="0.25">
      <c r="A46" s="61">
        <v>25</v>
      </c>
      <c r="B46" s="61">
        <v>32</v>
      </c>
      <c r="C46" s="81">
        <v>0</v>
      </c>
      <c r="D46" s="81">
        <v>0</v>
      </c>
      <c r="E46" s="523"/>
      <c r="F46" s="524"/>
      <c r="G46" s="64">
        <f>((Q9-N9)/(150-95)*('темп граф'!$C$6-95)+'норм втрати'!N9+('норм втрати'!R9-'норм втрати'!O9)/(150-95)*('темп граф'!$C$6-95)+'норм втрати'!O9)/1.163</f>
        <v>14.304697881654029</v>
      </c>
      <c r="H46" s="64">
        <f>G46*0.5</f>
        <v>7.1523489408270144</v>
      </c>
      <c r="I46" s="514"/>
      <c r="J46" s="515"/>
      <c r="K46" s="348">
        <f t="shared" ref="K46:L52" si="0">C46*G46*$I$39*1.2/1000000*24*$P$35</f>
        <v>0</v>
      </c>
      <c r="L46" s="348">
        <f t="shared" si="0"/>
        <v>0</v>
      </c>
      <c r="M46" s="508"/>
      <c r="N46" s="509"/>
      <c r="O46" s="349">
        <f>(C46+D46)*A46*A46/1000000/2*(3.1416*24*0.0025)</f>
        <v>0</v>
      </c>
      <c r="P46" s="519"/>
      <c r="Q46" s="45"/>
    </row>
    <row r="47" spans="1:98" s="60" customFormat="1" outlineLevel="1" x14ac:dyDescent="0.25">
      <c r="A47" s="61">
        <v>40</v>
      </c>
      <c r="B47" s="61">
        <v>45</v>
      </c>
      <c r="C47" s="81">
        <v>0</v>
      </c>
      <c r="D47" s="81">
        <v>0</v>
      </c>
      <c r="E47" s="523"/>
      <c r="F47" s="524"/>
      <c r="G47" s="64">
        <f>((Q10-N10)/(150-95)*('темп граф'!$C$6-95)+'норм втрати'!N10+('норм втрати'!R10-'норм втрати'!O10)/(150-95)*('темп граф'!$C$6-95)+'норм втрати'!O10)/1.163</f>
        <v>16.258891581333543</v>
      </c>
      <c r="H47" s="64">
        <f>G47*0.5</f>
        <v>8.1294457906667716</v>
      </c>
      <c r="I47" s="514"/>
      <c r="J47" s="515"/>
      <c r="K47" s="348">
        <f t="shared" si="0"/>
        <v>0</v>
      </c>
      <c r="L47" s="348">
        <f t="shared" si="0"/>
        <v>0</v>
      </c>
      <c r="M47" s="508"/>
      <c r="N47" s="509"/>
      <c r="O47" s="349">
        <f t="shared" ref="O47:O65" si="1">(C47+D47)*A47*A47/1000000/2*(3.1416*24*0.0025)</f>
        <v>0</v>
      </c>
      <c r="P47" s="519"/>
      <c r="Q47" s="45"/>
    </row>
    <row r="48" spans="1:98" s="60" customFormat="1" outlineLevel="1" x14ac:dyDescent="0.25">
      <c r="A48" s="61">
        <v>50</v>
      </c>
      <c r="B48" s="61">
        <v>57</v>
      </c>
      <c r="C48" s="81">
        <v>0</v>
      </c>
      <c r="D48" s="81">
        <v>0</v>
      </c>
      <c r="E48" s="523"/>
      <c r="F48" s="524"/>
      <c r="G48" s="64">
        <f>((Q11-N11)/(150-95)*('темп граф'!$C$6-95)+'норм втрати'!N11+('норм втрати'!R11-'норм втрати'!O11)/(150-95)*('темп граф'!$C$6-95)+'норм втрати'!O11)/1.163</f>
        <v>18.838427264910496</v>
      </c>
      <c r="H48" s="64">
        <f>G48*0.5</f>
        <v>9.4192136324552482</v>
      </c>
      <c r="I48" s="514"/>
      <c r="J48" s="515"/>
      <c r="K48" s="348">
        <f t="shared" si="0"/>
        <v>0</v>
      </c>
      <c r="L48" s="348">
        <f t="shared" si="0"/>
        <v>0</v>
      </c>
      <c r="M48" s="508"/>
      <c r="N48" s="509"/>
      <c r="O48" s="349">
        <f t="shared" si="1"/>
        <v>0</v>
      </c>
      <c r="P48" s="519"/>
      <c r="Q48" s="45"/>
    </row>
    <row r="49" spans="1:17" s="60" customFormat="1" outlineLevel="1" x14ac:dyDescent="0.25">
      <c r="A49" s="61">
        <v>65</v>
      </c>
      <c r="B49" s="61">
        <v>76</v>
      </c>
      <c r="C49" s="81">
        <v>0</v>
      </c>
      <c r="D49" s="81">
        <v>0</v>
      </c>
      <c r="E49" s="523"/>
      <c r="F49" s="524"/>
      <c r="G49" s="64">
        <f>((Q12-N12)/(150-95)*('темп граф'!$C$6-95)+'норм втрати'!N12+('норм втрати'!R12-'норм втрати'!O12)/(150-95)*('темп граф'!$C$6-95)+'норм втрати'!O12)/1.163</f>
        <v>18.682091768936136</v>
      </c>
      <c r="H49" s="64">
        <f>G49*0.5</f>
        <v>9.3410458844680679</v>
      </c>
      <c r="I49" s="514"/>
      <c r="J49" s="515"/>
      <c r="K49" s="348">
        <f t="shared" si="0"/>
        <v>0</v>
      </c>
      <c r="L49" s="348">
        <f t="shared" si="0"/>
        <v>0</v>
      </c>
      <c r="M49" s="508"/>
      <c r="N49" s="509"/>
      <c r="O49" s="349">
        <f t="shared" si="1"/>
        <v>0</v>
      </c>
      <c r="P49" s="519"/>
      <c r="Q49" s="45"/>
    </row>
    <row r="50" spans="1:17" s="60" customFormat="1" outlineLevel="1" x14ac:dyDescent="0.25">
      <c r="A50" s="61">
        <v>80</v>
      </c>
      <c r="B50" s="61">
        <v>89</v>
      </c>
      <c r="C50" s="81">
        <v>0</v>
      </c>
      <c r="D50" s="81">
        <v>0</v>
      </c>
      <c r="E50" s="523"/>
      <c r="F50" s="524"/>
      <c r="G50" s="64">
        <f>((Q13-N13)/(150-95)*('темп граф'!$C$6-95)+'норм втрати'!N13+('норм втрати'!R13-'норм втрати'!O13)/(150-95)*('темп граф'!$C$6-95)+'норм втрати'!O13)/1.163</f>
        <v>21.261627452513093</v>
      </c>
      <c r="H50" s="64">
        <f>G50*0.6</f>
        <v>12.756976471507855</v>
      </c>
      <c r="I50" s="514"/>
      <c r="J50" s="515"/>
      <c r="K50" s="348">
        <f>C50*G50*$I$39*1.2/1000000*24*$P$35</f>
        <v>0</v>
      </c>
      <c r="L50" s="348">
        <f t="shared" si="0"/>
        <v>0</v>
      </c>
      <c r="M50" s="508"/>
      <c r="N50" s="509"/>
      <c r="O50" s="349">
        <f t="shared" si="1"/>
        <v>0</v>
      </c>
      <c r="P50" s="519"/>
      <c r="Q50" s="45"/>
    </row>
    <row r="51" spans="1:17" s="60" customFormat="1" outlineLevel="1" x14ac:dyDescent="0.25">
      <c r="A51" s="61">
        <v>100</v>
      </c>
      <c r="B51" s="61">
        <v>108</v>
      </c>
      <c r="C51" s="81">
        <v>0</v>
      </c>
      <c r="D51" s="81">
        <v>0</v>
      </c>
      <c r="E51" s="523"/>
      <c r="F51" s="524"/>
      <c r="G51" s="64">
        <f>((Q14-N14)/(150-95)*('темп граф'!$C$6-95)+'норм втрати'!N14+('норм втрати'!R14-'норм втрати'!O14)/(150-95)*('темп граф'!$C$6-95)+'норм втрати'!O14)/1.163</f>
        <v>24.07566638005159</v>
      </c>
      <c r="H51" s="64">
        <f>G51*0.6</f>
        <v>14.445399828030954</v>
      </c>
      <c r="I51" s="514"/>
      <c r="J51" s="515"/>
      <c r="K51" s="348">
        <f t="shared" si="0"/>
        <v>0</v>
      </c>
      <c r="L51" s="348">
        <f t="shared" si="0"/>
        <v>0</v>
      </c>
      <c r="M51" s="508"/>
      <c r="N51" s="509"/>
      <c r="O51" s="349">
        <f t="shared" si="1"/>
        <v>0</v>
      </c>
      <c r="P51" s="519"/>
      <c r="Q51" s="45"/>
    </row>
    <row r="52" spans="1:17" s="60" customFormat="1" outlineLevel="1" x14ac:dyDescent="0.25">
      <c r="A52" s="61">
        <v>125</v>
      </c>
      <c r="B52" s="61">
        <v>133</v>
      </c>
      <c r="C52" s="81">
        <v>0</v>
      </c>
      <c r="D52" s="81">
        <v>0</v>
      </c>
      <c r="E52" s="523"/>
      <c r="F52" s="524"/>
      <c r="G52" s="64">
        <f>((Q15-N15)/(150-95)*('темп граф'!$C$6-95)+'норм втрати'!N15+('норм втрати'!R15-'норм втрати'!O15)/(150-95)*('темп граф'!$C$6-95)+'норм втрати'!O15)/1.163</f>
        <v>32.830454154615801</v>
      </c>
      <c r="H52" s="64">
        <f>G52*0.6</f>
        <v>19.69827249276948</v>
      </c>
      <c r="I52" s="514"/>
      <c r="J52" s="515"/>
      <c r="K52" s="348">
        <f t="shared" si="0"/>
        <v>0</v>
      </c>
      <c r="L52" s="348">
        <f t="shared" si="0"/>
        <v>0</v>
      </c>
      <c r="M52" s="508"/>
      <c r="N52" s="509"/>
      <c r="O52" s="349">
        <f t="shared" si="1"/>
        <v>0</v>
      </c>
      <c r="P52" s="519"/>
      <c r="Q52" s="45"/>
    </row>
    <row r="53" spans="1:17" s="60" customFormat="1" outlineLevel="1" x14ac:dyDescent="0.25">
      <c r="A53" s="61">
        <v>150</v>
      </c>
      <c r="B53" s="61">
        <v>159</v>
      </c>
      <c r="C53" s="81">
        <v>0</v>
      </c>
      <c r="D53" s="81">
        <v>0</v>
      </c>
      <c r="E53" s="523"/>
      <c r="F53" s="524"/>
      <c r="G53" s="64">
        <f>((Q16-N16)/(150-95)*('темп граф'!$C$6-95)+'норм втрати'!N16+('норм втрати'!R16-'норм втрати'!O16)/(150-95)*('темп граф'!$C$6-95)+'норм втрати'!O16)/1.163</f>
        <v>33.064957398577342</v>
      </c>
      <c r="H53" s="64">
        <f>G53*0.6</f>
        <v>19.838974439146405</v>
      </c>
      <c r="I53" s="514"/>
      <c r="J53" s="515"/>
      <c r="K53" s="348">
        <f>C53*G53*$I$39*1.15/1000000*24*$P$35</f>
        <v>0</v>
      </c>
      <c r="L53" s="348">
        <f>D53*H53*$I$39*1.15/1000000*24*$P$35</f>
        <v>0</v>
      </c>
      <c r="M53" s="508"/>
      <c r="N53" s="509"/>
      <c r="O53" s="349">
        <f t="shared" si="1"/>
        <v>0</v>
      </c>
      <c r="P53" s="519"/>
      <c r="Q53" s="45"/>
    </row>
    <row r="54" spans="1:17" s="60" customFormat="1" outlineLevel="1" x14ac:dyDescent="0.25">
      <c r="A54" s="61">
        <v>200</v>
      </c>
      <c r="B54" s="61">
        <v>219</v>
      </c>
      <c r="C54" s="81">
        <v>0</v>
      </c>
      <c r="D54" s="81">
        <v>0</v>
      </c>
      <c r="E54" s="523"/>
      <c r="F54" s="524"/>
      <c r="G54" s="64">
        <f>((Q17-N17)/(150-95)*('темп граф'!$C$6-95)+'норм втрати'!N17+('норм втрати'!R17-'норм втрати'!O17)/(150-95)*('темп граф'!$C$6-95)+'норм втрати'!O17)/1.163</f>
        <v>41.89791292112875</v>
      </c>
      <c r="H54" s="64">
        <f>G54*0.7</f>
        <v>29.328539044790123</v>
      </c>
      <c r="I54" s="514"/>
      <c r="J54" s="515"/>
      <c r="K54" s="348">
        <f t="shared" ref="K54:L65" si="2">C54*G54*$I$39*1.15/1000000*24*$P$35</f>
        <v>0</v>
      </c>
      <c r="L54" s="348">
        <f t="shared" si="2"/>
        <v>0</v>
      </c>
      <c r="M54" s="508"/>
      <c r="N54" s="509"/>
      <c r="O54" s="349">
        <f t="shared" si="1"/>
        <v>0</v>
      </c>
      <c r="P54" s="519"/>
      <c r="Q54" s="45"/>
    </row>
    <row r="55" spans="1:17" s="60" customFormat="1" outlineLevel="1" x14ac:dyDescent="0.25">
      <c r="A55" s="61">
        <v>250</v>
      </c>
      <c r="B55" s="61">
        <v>273</v>
      </c>
      <c r="C55" s="81">
        <v>0</v>
      </c>
      <c r="D55" s="81">
        <v>0</v>
      </c>
      <c r="E55" s="523"/>
      <c r="F55" s="524"/>
      <c r="G55" s="64">
        <f>((Q18-N18)/(150-95)*('темп граф'!$C$6-95)+'норм втрати'!N18+('норм втрати'!R18-'норм втрати'!O18)/(150-95)*('темп граф'!$C$6-95)+'норм втрати'!O18)/1.163</f>
        <v>43.69577112483389</v>
      </c>
      <c r="H55" s="64">
        <f>G55*0.7</f>
        <v>30.58703978738372</v>
      </c>
      <c r="I55" s="514"/>
      <c r="J55" s="515"/>
      <c r="K55" s="348">
        <f t="shared" si="2"/>
        <v>0</v>
      </c>
      <c r="L55" s="348">
        <f t="shared" si="2"/>
        <v>0</v>
      </c>
      <c r="M55" s="508"/>
      <c r="N55" s="509"/>
      <c r="O55" s="349">
        <f t="shared" si="1"/>
        <v>0</v>
      </c>
      <c r="P55" s="519"/>
      <c r="Q55" s="45"/>
    </row>
    <row r="56" spans="1:17" s="60" customFormat="1" outlineLevel="1" x14ac:dyDescent="0.25">
      <c r="A56" s="61">
        <v>300</v>
      </c>
      <c r="B56" s="61">
        <v>325</v>
      </c>
      <c r="C56" s="81">
        <v>0</v>
      </c>
      <c r="D56" s="81">
        <v>0</v>
      </c>
      <c r="E56" s="523"/>
      <c r="F56" s="524"/>
      <c r="G56" s="64">
        <f>((Q19-N19)/(150-95)*('темп граф'!$C$6-95)+'норм втрати'!N19+('норм втрати'!R19-'норм втрати'!O19)/(150-95)*('темп граф'!$C$6-95)+'норм втрати'!O19)/1.163</f>
        <v>49.089345735949351</v>
      </c>
      <c r="H56" s="64">
        <f>G56*0.7</f>
        <v>34.362542015164543</v>
      </c>
      <c r="I56" s="514"/>
      <c r="J56" s="515"/>
      <c r="K56" s="348">
        <f t="shared" si="2"/>
        <v>0</v>
      </c>
      <c r="L56" s="348">
        <f t="shared" si="2"/>
        <v>0</v>
      </c>
      <c r="M56" s="508"/>
      <c r="N56" s="509"/>
      <c r="O56" s="349">
        <f t="shared" si="1"/>
        <v>0</v>
      </c>
      <c r="P56" s="519"/>
      <c r="Q56" s="45"/>
    </row>
    <row r="57" spans="1:17" s="60" customFormat="1" outlineLevel="1" x14ac:dyDescent="0.25">
      <c r="A57" s="61">
        <v>350</v>
      </c>
      <c r="B57" s="61">
        <v>377</v>
      </c>
      <c r="C57" s="81">
        <v>0</v>
      </c>
      <c r="D57" s="81">
        <v>0</v>
      </c>
      <c r="E57" s="523"/>
      <c r="F57" s="524"/>
      <c r="G57" s="64">
        <f>((Q20-N20)/(150-95)*('темп граф'!$C$6-95)+'норм втрати'!N20+('норм втрати'!R20-'норм втрати'!O20)/(150-95)*('темп граф'!$C$6-95)+'норм втрати'!O20)/1.163</f>
        <v>59.798327210193072</v>
      </c>
      <c r="H57" s="64">
        <f t="shared" ref="H57:H65" si="3">G57*0.8</f>
        <v>47.838661768154459</v>
      </c>
      <c r="I57" s="514"/>
      <c r="J57" s="515"/>
      <c r="K57" s="348">
        <f t="shared" si="2"/>
        <v>0</v>
      </c>
      <c r="L57" s="348">
        <f t="shared" si="2"/>
        <v>0</v>
      </c>
      <c r="M57" s="508"/>
      <c r="N57" s="509"/>
      <c r="O57" s="349">
        <f t="shared" si="1"/>
        <v>0</v>
      </c>
      <c r="P57" s="519"/>
      <c r="Q57" s="45"/>
    </row>
    <row r="58" spans="1:17" s="60" customFormat="1" outlineLevel="1" x14ac:dyDescent="0.25">
      <c r="A58" s="61">
        <v>400</v>
      </c>
      <c r="B58" s="61">
        <v>426</v>
      </c>
      <c r="C58" s="81">
        <v>0</v>
      </c>
      <c r="D58" s="81">
        <v>0</v>
      </c>
      <c r="E58" s="523"/>
      <c r="F58" s="524"/>
      <c r="G58" s="64">
        <f>((Q21-N21)/(150-95)*('темп граф'!$C$6-95)+'норм втрати'!N21+('норм втрати'!R21-'норм втрати'!O21)/(150-95)*('темп граф'!$C$6-95)+'норм втрати'!O21)/1.163</f>
        <v>54.326584851090445</v>
      </c>
      <c r="H58" s="64">
        <f t="shared" si="3"/>
        <v>43.461267880872356</v>
      </c>
      <c r="I58" s="514"/>
      <c r="J58" s="515"/>
      <c r="K58" s="348">
        <f t="shared" si="2"/>
        <v>0</v>
      </c>
      <c r="L58" s="348">
        <f t="shared" si="2"/>
        <v>0</v>
      </c>
      <c r="M58" s="508"/>
      <c r="N58" s="509"/>
      <c r="O58" s="349">
        <f t="shared" si="1"/>
        <v>0</v>
      </c>
      <c r="P58" s="519"/>
      <c r="Q58" s="45"/>
    </row>
    <row r="59" spans="1:17" s="60" customFormat="1" outlineLevel="1" x14ac:dyDescent="0.25">
      <c r="A59" s="61">
        <v>450</v>
      </c>
      <c r="B59" s="61">
        <v>478</v>
      </c>
      <c r="C59" s="81">
        <v>0</v>
      </c>
      <c r="D59" s="81">
        <v>0</v>
      </c>
      <c r="E59" s="523"/>
      <c r="F59" s="524"/>
      <c r="G59" s="64">
        <f>((Q22-N22)/(150-95)*('темп граф'!$C$6-95)+'норм втрати'!N22+('норм втрати'!R22-'норм втрати'!O22)/(150-95)*('темп граф'!$C$6-95)+'норм втрати'!O22)/1.163</f>
        <v>66.364418041116238</v>
      </c>
      <c r="H59" s="64">
        <f t="shared" si="3"/>
        <v>53.091534432892992</v>
      </c>
      <c r="I59" s="514"/>
      <c r="J59" s="515"/>
      <c r="K59" s="348">
        <f t="shared" si="2"/>
        <v>0</v>
      </c>
      <c r="L59" s="348">
        <f t="shared" si="2"/>
        <v>0</v>
      </c>
      <c r="M59" s="508"/>
      <c r="N59" s="509"/>
      <c r="O59" s="349">
        <f t="shared" si="1"/>
        <v>0</v>
      </c>
      <c r="P59" s="519"/>
      <c r="Q59" s="45"/>
    </row>
    <row r="60" spans="1:17" s="60" customFormat="1" outlineLevel="1" x14ac:dyDescent="0.25">
      <c r="A60" s="61">
        <v>500</v>
      </c>
      <c r="B60" s="61">
        <v>529</v>
      </c>
      <c r="C60" s="81">
        <v>0</v>
      </c>
      <c r="D60" s="81">
        <v>0</v>
      </c>
      <c r="E60" s="523"/>
      <c r="F60" s="524"/>
      <c r="G60" s="64">
        <f>((Q23-N23)/(150-95)*('темп граф'!$C$6-95)+'норм втрати'!N23+('норм втрати'!R23-'норм втрати'!O23)/(150-95)*('темп граф'!$C$6-95)+'норм втрати'!O23)/1.163</f>
        <v>60.658172438052063</v>
      </c>
      <c r="H60" s="64">
        <f t="shared" si="3"/>
        <v>48.52653795044165</v>
      </c>
      <c r="I60" s="514"/>
      <c r="J60" s="515"/>
      <c r="K60" s="348">
        <f t="shared" si="2"/>
        <v>0</v>
      </c>
      <c r="L60" s="348">
        <f t="shared" si="2"/>
        <v>0</v>
      </c>
      <c r="M60" s="508"/>
      <c r="N60" s="509"/>
      <c r="O60" s="349">
        <f t="shared" si="1"/>
        <v>0</v>
      </c>
      <c r="P60" s="519"/>
      <c r="Q60" s="45"/>
    </row>
    <row r="61" spans="1:17" s="60" customFormat="1" outlineLevel="1" x14ac:dyDescent="0.25">
      <c r="A61" s="61">
        <v>600</v>
      </c>
      <c r="B61" s="61">
        <v>630</v>
      </c>
      <c r="C61" s="81">
        <v>0</v>
      </c>
      <c r="D61" s="81">
        <v>0</v>
      </c>
      <c r="E61" s="523"/>
      <c r="F61" s="524"/>
      <c r="G61" s="64">
        <f>((Q24-N24)/(150-95)*('темп граф'!$C$6-95)+'норм втрати'!N24+('норм втрати'!R24-'норм втрати'!O24)/(150-95)*('темп граф'!$C$6-95)+'норм втрати'!O24)/1.163</f>
        <v>79.731102946924096</v>
      </c>
      <c r="H61" s="64">
        <f t="shared" si="3"/>
        <v>63.784882357539281</v>
      </c>
      <c r="I61" s="514"/>
      <c r="J61" s="515"/>
      <c r="K61" s="348">
        <f t="shared" si="2"/>
        <v>0</v>
      </c>
      <c r="L61" s="348">
        <f t="shared" si="2"/>
        <v>0</v>
      </c>
      <c r="M61" s="508"/>
      <c r="N61" s="509"/>
      <c r="O61" s="349">
        <f t="shared" si="1"/>
        <v>0</v>
      </c>
      <c r="P61" s="519"/>
      <c r="Q61" s="45"/>
    </row>
    <row r="62" spans="1:17" s="60" customFormat="1" outlineLevel="1" x14ac:dyDescent="0.25">
      <c r="A62" s="61">
        <v>700</v>
      </c>
      <c r="B62" s="61">
        <v>720</v>
      </c>
      <c r="C62" s="81">
        <v>0</v>
      </c>
      <c r="D62" s="81">
        <v>0</v>
      </c>
      <c r="E62" s="523"/>
      <c r="F62" s="524"/>
      <c r="G62" s="64">
        <f>((Q25-N25)/(150-95)*('темп граф'!$C$6-95)+'норм втрати'!N25+('норм втрати'!R25-'норм втрати'!O25)/(150-95)*('темп граф'!$C$6-95)+'норм втрати'!O25)/1.163</f>
        <v>86.688032517783157</v>
      </c>
      <c r="H62" s="64">
        <f t="shared" si="3"/>
        <v>69.350426014226528</v>
      </c>
      <c r="I62" s="514"/>
      <c r="J62" s="515"/>
      <c r="K62" s="348">
        <f t="shared" si="2"/>
        <v>0</v>
      </c>
      <c r="L62" s="348">
        <f t="shared" si="2"/>
        <v>0</v>
      </c>
      <c r="M62" s="508"/>
      <c r="N62" s="509"/>
      <c r="O62" s="349">
        <f t="shared" si="1"/>
        <v>0</v>
      </c>
      <c r="P62" s="519"/>
      <c r="Q62" s="45"/>
    </row>
    <row r="63" spans="1:17" s="60" customFormat="1" outlineLevel="1" x14ac:dyDescent="0.25">
      <c r="A63" s="61">
        <v>800</v>
      </c>
      <c r="B63" s="61">
        <v>820</v>
      </c>
      <c r="C63" s="81">
        <v>0</v>
      </c>
      <c r="D63" s="81">
        <v>0</v>
      </c>
      <c r="E63" s="523"/>
      <c r="F63" s="524"/>
      <c r="G63" s="64">
        <f>((Q26-N26)/(150-95)*('темп граф'!$C$6-95)+'норм втрати'!N26+('норм втрати'!R26-'норм втрати'!O26)/(150-95)*('темп граф'!$C$6-95)+'норм втрати'!O26)/1.163</f>
        <v>100.44555616352692</v>
      </c>
      <c r="H63" s="64">
        <f t="shared" si="3"/>
        <v>80.356444930821539</v>
      </c>
      <c r="I63" s="514"/>
      <c r="J63" s="515"/>
      <c r="K63" s="348">
        <f t="shared" si="2"/>
        <v>0</v>
      </c>
      <c r="L63" s="348">
        <f t="shared" si="2"/>
        <v>0</v>
      </c>
      <c r="M63" s="508"/>
      <c r="N63" s="509"/>
      <c r="O63" s="349">
        <f t="shared" si="1"/>
        <v>0</v>
      </c>
      <c r="P63" s="519"/>
      <c r="Q63" s="45"/>
    </row>
    <row r="64" spans="1:17" s="60" customFormat="1" outlineLevel="1" x14ac:dyDescent="0.25">
      <c r="A64" s="61">
        <v>900</v>
      </c>
      <c r="B64" s="61">
        <v>920</v>
      </c>
      <c r="C64" s="81">
        <v>0</v>
      </c>
      <c r="D64" s="81">
        <v>0</v>
      </c>
      <c r="E64" s="523"/>
      <c r="F64" s="524"/>
      <c r="G64" s="64">
        <f>((Q27-N27)/(150-95)*('темп граф'!$C$6-95)+'норм втрати'!N27+('норм втрати'!R27-'норм втрати'!O27)/(150-95)*('темп граф'!$C$6-95)+'норм втрати'!O27)/1.163</f>
        <v>98.88220120378331</v>
      </c>
      <c r="H64" s="64">
        <f t="shared" si="3"/>
        <v>79.105760963026654</v>
      </c>
      <c r="I64" s="514"/>
      <c r="J64" s="515"/>
      <c r="K64" s="348">
        <f t="shared" si="2"/>
        <v>0</v>
      </c>
      <c r="L64" s="348">
        <f t="shared" si="2"/>
        <v>0</v>
      </c>
      <c r="M64" s="508"/>
      <c r="N64" s="509"/>
      <c r="O64" s="349">
        <f t="shared" si="1"/>
        <v>0</v>
      </c>
      <c r="P64" s="519"/>
      <c r="Q64" s="45"/>
    </row>
    <row r="65" spans="1:28" s="60" customFormat="1" outlineLevel="1" x14ac:dyDescent="0.25">
      <c r="A65" s="61">
        <v>1000</v>
      </c>
      <c r="B65" s="61">
        <v>1020</v>
      </c>
      <c r="C65" s="81">
        <v>0</v>
      </c>
      <c r="D65" s="81">
        <v>0</v>
      </c>
      <c r="E65" s="523"/>
      <c r="F65" s="524"/>
      <c r="G65" s="64">
        <f>((Q28-N28)/(150-95)*('темп граф'!$C$6-95)+'норм втрати'!N28+('норм втрати'!R28-'норм втрати'!O28)/(150-95)*('темп граф'!$C$6-95)+'норм втрати'!O28)/1.163</f>
        <v>121.55084812006564</v>
      </c>
      <c r="H65" s="64">
        <f t="shared" si="3"/>
        <v>97.24067849605251</v>
      </c>
      <c r="I65" s="514"/>
      <c r="J65" s="515"/>
      <c r="K65" s="348">
        <f t="shared" si="2"/>
        <v>0</v>
      </c>
      <c r="L65" s="348">
        <f t="shared" si="2"/>
        <v>0</v>
      </c>
      <c r="M65" s="508"/>
      <c r="N65" s="509"/>
      <c r="O65" s="349">
        <f t="shared" si="1"/>
        <v>0</v>
      </c>
      <c r="P65" s="519"/>
      <c r="Q65" s="45"/>
    </row>
    <row r="66" spans="1:28" s="38" customFormat="1" ht="45.75" customHeight="1" x14ac:dyDescent="0.25">
      <c r="A66" s="496" t="s">
        <v>50</v>
      </c>
      <c r="B66" s="497"/>
      <c r="C66" s="36">
        <f>SUM(C46:C65)</f>
        <v>0</v>
      </c>
      <c r="D66" s="36">
        <f>SUM(D46:D65)</f>
        <v>0</v>
      </c>
      <c r="E66" s="525"/>
      <c r="F66" s="526"/>
      <c r="G66" s="23">
        <f>IF(C66=0,0,SUMPRODUCT(C46:C65,G46:G65)/C66)</f>
        <v>0</v>
      </c>
      <c r="H66" s="23">
        <f>IF(D66=0,0,SUMPRODUCT(D46:D65,H46:H65)/D66)</f>
        <v>0</v>
      </c>
      <c r="I66" s="516"/>
      <c r="J66" s="517"/>
      <c r="K66" s="350">
        <f>SUM(K46:K65)</f>
        <v>0</v>
      </c>
      <c r="L66" s="350">
        <f>SUM(L46:L65)</f>
        <v>0</v>
      </c>
      <c r="M66" s="510"/>
      <c r="N66" s="511"/>
      <c r="O66" s="351">
        <f>SUM(O46:O65)</f>
        <v>0</v>
      </c>
      <c r="P66" s="520"/>
      <c r="Q66" s="37"/>
    </row>
    <row r="67" spans="1:28" s="62" customFormat="1" ht="33" customHeight="1" x14ac:dyDescent="0.25">
      <c r="A67" s="501" t="s">
        <v>68</v>
      </c>
      <c r="B67" s="501"/>
      <c r="C67" s="501"/>
      <c r="D67" s="501"/>
      <c r="E67" s="501"/>
      <c r="F67" s="501"/>
      <c r="G67" s="501"/>
      <c r="H67" s="501"/>
      <c r="I67" s="501"/>
      <c r="J67" s="501"/>
      <c r="K67" s="501"/>
      <c r="L67" s="501"/>
      <c r="M67" s="501"/>
      <c r="N67" s="501"/>
      <c r="O67" s="501"/>
      <c r="P67" s="501"/>
      <c r="Q67" s="82"/>
    </row>
    <row r="68" spans="1:28" s="32" customFormat="1" ht="93" customHeight="1" x14ac:dyDescent="0.25">
      <c r="A68" s="32" t="s">
        <v>30</v>
      </c>
      <c r="B68" s="32" t="s">
        <v>31</v>
      </c>
      <c r="C68" s="32" t="s">
        <v>32</v>
      </c>
      <c r="D68" s="32" t="s">
        <v>33</v>
      </c>
      <c r="E68" s="521"/>
      <c r="F68" s="522"/>
      <c r="G68" s="32" t="s">
        <v>34</v>
      </c>
      <c r="H68" s="32" t="s">
        <v>35</v>
      </c>
      <c r="I68" s="512"/>
      <c r="J68" s="513"/>
      <c r="K68" s="352" t="s">
        <v>38</v>
      </c>
      <c r="L68" s="352" t="s">
        <v>39</v>
      </c>
      <c r="M68" s="506"/>
      <c r="N68" s="507"/>
      <c r="O68" s="353" t="s">
        <v>42</v>
      </c>
      <c r="P68" s="518"/>
      <c r="Q68" s="29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1"/>
    </row>
    <row r="69" spans="1:28" s="30" customFormat="1" ht="14.25" x14ac:dyDescent="0.25">
      <c r="A69" s="33" t="s">
        <v>44</v>
      </c>
      <c r="B69" s="33" t="s">
        <v>44</v>
      </c>
      <c r="C69" s="33" t="s">
        <v>45</v>
      </c>
      <c r="D69" s="33" t="s">
        <v>45</v>
      </c>
      <c r="E69" s="523"/>
      <c r="F69" s="524"/>
      <c r="G69" s="33" t="s">
        <v>46</v>
      </c>
      <c r="H69" s="33" t="s">
        <v>46</v>
      </c>
      <c r="I69" s="514"/>
      <c r="J69" s="515"/>
      <c r="K69" s="346" t="s">
        <v>17</v>
      </c>
      <c r="L69" s="346" t="s">
        <v>17</v>
      </c>
      <c r="M69" s="508"/>
      <c r="N69" s="509"/>
      <c r="O69" s="347" t="s">
        <v>47</v>
      </c>
      <c r="P69" s="519"/>
      <c r="Q69" s="35"/>
    </row>
    <row r="70" spans="1:28" s="60" customFormat="1" outlineLevel="1" x14ac:dyDescent="0.25">
      <c r="A70" s="61">
        <v>25</v>
      </c>
      <c r="B70" s="61">
        <v>32</v>
      </c>
      <c r="C70" s="81">
        <v>0</v>
      </c>
      <c r="D70" s="81">
        <v>0</v>
      </c>
      <c r="E70" s="523"/>
      <c r="F70" s="524"/>
      <c r="G70" s="64">
        <f>((U9-S9)/(150-95)*('темп граф'!$C$6-95)+'норм втрати'!S9+('норм втрати'!V9-'норм втрати'!T9)/(150-95)*('темп граф'!$C$6-95)+'норм втрати'!T9)/1.163</f>
        <v>35.019151098256856</v>
      </c>
      <c r="H70" s="64">
        <f>G70*0.5</f>
        <v>17.509575549128428</v>
      </c>
      <c r="I70" s="514"/>
      <c r="J70" s="515"/>
      <c r="K70" s="348">
        <f>C70*G70*$I$39*1.15/1000000*24</f>
        <v>0</v>
      </c>
      <c r="L70" s="348">
        <f>D70*H70*$I$39*1.15/1000000*24</f>
        <v>0</v>
      </c>
      <c r="M70" s="508"/>
      <c r="N70" s="509"/>
      <c r="O70" s="349">
        <f>(C70+D70)*A70*A70/1000000/2*(3.1416*24*0.0025)</f>
        <v>0</v>
      </c>
      <c r="P70" s="519"/>
      <c r="Q70" s="45"/>
    </row>
    <row r="71" spans="1:28" s="60" customFormat="1" outlineLevel="1" x14ac:dyDescent="0.25">
      <c r="A71" s="61">
        <v>40</v>
      </c>
      <c r="B71" s="61">
        <v>45</v>
      </c>
      <c r="C71" s="81">
        <v>0</v>
      </c>
      <c r="D71" s="81">
        <v>0</v>
      </c>
      <c r="E71" s="523"/>
      <c r="F71" s="524"/>
      <c r="G71" s="64">
        <f>((U10-S10)/(150-95)*('темп граф'!$C$6-95)+'норм втрати'!S10+('норм втрати'!V10-'норм втрати'!T10)/(150-95)*('темп граф'!$C$6-95)+'норм втрати'!T10)/1.163</f>
        <v>39.122957867583835</v>
      </c>
      <c r="H71" s="64">
        <f>G71*0.5</f>
        <v>19.561478933791918</v>
      </c>
      <c r="I71" s="514"/>
      <c r="J71" s="515"/>
      <c r="K71" s="348">
        <f t="shared" ref="K71:L87" si="4">C71*G71*$I$39*1.15/1000000*24</f>
        <v>0</v>
      </c>
      <c r="L71" s="348">
        <f t="shared" si="4"/>
        <v>0</v>
      </c>
      <c r="M71" s="508"/>
      <c r="N71" s="509"/>
      <c r="O71" s="349">
        <f t="shared" ref="O71:O87" si="5">(C71+D71)*A71*A71/1000000/2*(3.1416*24*0.0025)</f>
        <v>0</v>
      </c>
      <c r="P71" s="519"/>
      <c r="Q71" s="45"/>
    </row>
    <row r="72" spans="1:28" s="60" customFormat="1" outlineLevel="1" x14ac:dyDescent="0.25">
      <c r="A72" s="61">
        <v>50</v>
      </c>
      <c r="B72" s="61">
        <v>57</v>
      </c>
      <c r="C72" s="81">
        <v>0</v>
      </c>
      <c r="D72" s="81">
        <v>0</v>
      </c>
      <c r="E72" s="523"/>
      <c r="F72" s="524"/>
      <c r="G72" s="64">
        <f>((U11-S11)/(150-95)*('темп граф'!$C$6-95)+'норм втрати'!S11+('норм втрати'!V11-'норм втрати'!T11)/(150-95)*('темп граф'!$C$6-95)+'норм втрати'!T11)/1.163</f>
        <v>43.226764636910808</v>
      </c>
      <c r="H72" s="64">
        <f>G72*0.5</f>
        <v>21.613382318455404</v>
      </c>
      <c r="I72" s="514"/>
      <c r="J72" s="515"/>
      <c r="K72" s="348">
        <f t="shared" si="4"/>
        <v>0</v>
      </c>
      <c r="L72" s="348">
        <f t="shared" si="4"/>
        <v>0</v>
      </c>
      <c r="M72" s="508"/>
      <c r="N72" s="509"/>
      <c r="O72" s="349">
        <f t="shared" si="5"/>
        <v>0</v>
      </c>
      <c r="P72" s="519"/>
      <c r="Q72" s="45"/>
    </row>
    <row r="73" spans="1:28" s="60" customFormat="1" outlineLevel="1" x14ac:dyDescent="0.25">
      <c r="A73" s="61">
        <v>65</v>
      </c>
      <c r="B73" s="61">
        <v>76</v>
      </c>
      <c r="C73" s="81">
        <v>0</v>
      </c>
      <c r="D73" s="81">
        <v>0</v>
      </c>
      <c r="E73" s="523"/>
      <c r="F73" s="524"/>
      <c r="G73" s="64">
        <f>((U12-S12)/(150-95)*('темп граф'!$C$6-95)+'норм втрати'!S12+('норм втрати'!V12-'норм втрати'!T12)/(150-95)*('темп граф'!$C$6-95)+'норм втрати'!T12)/1.163</f>
        <v>47.135152036269837</v>
      </c>
      <c r="H73" s="64">
        <f>G73*0.5</f>
        <v>23.567576018134918</v>
      </c>
      <c r="I73" s="514"/>
      <c r="J73" s="515"/>
      <c r="K73" s="348">
        <f t="shared" si="4"/>
        <v>0</v>
      </c>
      <c r="L73" s="348">
        <f t="shared" si="4"/>
        <v>0</v>
      </c>
      <c r="M73" s="508"/>
      <c r="N73" s="509"/>
      <c r="O73" s="349">
        <f t="shared" si="5"/>
        <v>0</v>
      </c>
      <c r="P73" s="519"/>
      <c r="Q73" s="45"/>
    </row>
    <row r="74" spans="1:28" s="60" customFormat="1" outlineLevel="1" x14ac:dyDescent="0.25">
      <c r="A74" s="61">
        <v>80</v>
      </c>
      <c r="B74" s="61">
        <v>89</v>
      </c>
      <c r="C74" s="81">
        <v>0</v>
      </c>
      <c r="D74" s="81">
        <v>0</v>
      </c>
      <c r="E74" s="523"/>
      <c r="F74" s="524"/>
      <c r="G74" s="64">
        <f>((U13-S13)/(150-95)*('темп граф'!$C$6-95)+'норм втрати'!S13+('норм втрати'!V13-'норм втрати'!T13)/(150-95)*('темп граф'!$C$6-95)+'норм втрати'!T13)/1.163</f>
        <v>48.854842491987803</v>
      </c>
      <c r="H74" s="64">
        <f>G74*0.6</f>
        <v>29.31290549519268</v>
      </c>
      <c r="I74" s="514"/>
      <c r="J74" s="515"/>
      <c r="K74" s="348">
        <f t="shared" si="4"/>
        <v>0</v>
      </c>
      <c r="L74" s="348">
        <f t="shared" si="4"/>
        <v>0</v>
      </c>
      <c r="M74" s="508"/>
      <c r="N74" s="509"/>
      <c r="O74" s="349">
        <f t="shared" si="5"/>
        <v>0</v>
      </c>
      <c r="P74" s="519"/>
      <c r="Q74" s="45"/>
    </row>
    <row r="75" spans="1:28" s="60" customFormat="1" outlineLevel="1" x14ac:dyDescent="0.25">
      <c r="A75" s="61">
        <v>100</v>
      </c>
      <c r="B75" s="61">
        <v>108</v>
      </c>
      <c r="C75" s="81">
        <v>0</v>
      </c>
      <c r="D75" s="81">
        <v>0</v>
      </c>
      <c r="E75" s="523"/>
      <c r="F75" s="524"/>
      <c r="G75" s="64">
        <f>((U14-S14)/(150-95)*('темп граф'!$C$6-95)+'норм втрати'!S14+('норм втрати'!V14-'норм втрати'!T14)/(150-95)*('темп граф'!$C$6-95)+'норм втрати'!T14)/1.163</f>
        <v>55.499101070898149</v>
      </c>
      <c r="H75" s="64">
        <f>G75*0.6</f>
        <v>33.299460642538889</v>
      </c>
      <c r="I75" s="514"/>
      <c r="J75" s="515"/>
      <c r="K75" s="348">
        <f t="shared" si="4"/>
        <v>0</v>
      </c>
      <c r="L75" s="348">
        <f t="shared" si="4"/>
        <v>0</v>
      </c>
      <c r="M75" s="508"/>
      <c r="N75" s="509"/>
      <c r="O75" s="349">
        <f t="shared" si="5"/>
        <v>0</v>
      </c>
      <c r="P75" s="519"/>
      <c r="Q75" s="45"/>
    </row>
    <row r="76" spans="1:28" s="60" customFormat="1" outlineLevel="1" x14ac:dyDescent="0.25">
      <c r="A76" s="61">
        <v>125</v>
      </c>
      <c r="B76" s="61">
        <v>133</v>
      </c>
      <c r="C76" s="81">
        <v>0</v>
      </c>
      <c r="D76" s="81">
        <v>0</v>
      </c>
      <c r="E76" s="523"/>
      <c r="F76" s="524"/>
      <c r="G76" s="64">
        <f>((U15-S15)/(150-95)*('темп граф'!$C$6-95)+'норм втрати'!S15+('норм втрати'!V15-'норм втрати'!T15)/(150-95)*('темп граф'!$C$6-95)+'норм втрати'!T15)/1.163</f>
        <v>55.577268818885315</v>
      </c>
      <c r="H76" s="64">
        <f>G76*0.6</f>
        <v>33.346361291331185</v>
      </c>
      <c r="I76" s="514"/>
      <c r="J76" s="515"/>
      <c r="K76" s="348">
        <f t="shared" si="4"/>
        <v>0</v>
      </c>
      <c r="L76" s="348">
        <f t="shared" si="4"/>
        <v>0</v>
      </c>
      <c r="M76" s="508"/>
      <c r="N76" s="509"/>
      <c r="O76" s="349">
        <f t="shared" si="5"/>
        <v>0</v>
      </c>
      <c r="P76" s="519"/>
      <c r="Q76" s="45"/>
    </row>
    <row r="77" spans="1:28" s="60" customFormat="1" outlineLevel="1" x14ac:dyDescent="0.25">
      <c r="A77" s="61">
        <v>150</v>
      </c>
      <c r="B77" s="61">
        <v>159</v>
      </c>
      <c r="C77" s="81">
        <v>0</v>
      </c>
      <c r="D77" s="81">
        <v>0</v>
      </c>
      <c r="E77" s="523"/>
      <c r="F77" s="524"/>
      <c r="G77" s="64">
        <f>((U16-S16)/(150-95)*('темп граф'!$C$6-95)+'норм втрати'!S16+('норм втрати'!V16-'норм втрати'!T16)/(150-95)*('темп граф'!$C$6-95)+'норм втрати'!T16)/1.163</f>
        <v>65.895411553193142</v>
      </c>
      <c r="H77" s="64">
        <f>G77*0.6</f>
        <v>39.537246931915881</v>
      </c>
      <c r="I77" s="514"/>
      <c r="J77" s="515"/>
      <c r="K77" s="348">
        <f t="shared" si="4"/>
        <v>0</v>
      </c>
      <c r="L77" s="348">
        <f t="shared" si="4"/>
        <v>0</v>
      </c>
      <c r="M77" s="508"/>
      <c r="N77" s="509"/>
      <c r="O77" s="349">
        <f t="shared" si="5"/>
        <v>0</v>
      </c>
      <c r="P77" s="519"/>
      <c r="Q77" s="45"/>
    </row>
    <row r="78" spans="1:28" s="60" customFormat="1" outlineLevel="1" x14ac:dyDescent="0.25">
      <c r="A78" s="61">
        <v>200</v>
      </c>
      <c r="B78" s="61">
        <v>219</v>
      </c>
      <c r="C78" s="81">
        <v>0</v>
      </c>
      <c r="D78" s="81">
        <v>0</v>
      </c>
      <c r="E78" s="523"/>
      <c r="F78" s="524"/>
      <c r="G78" s="64">
        <f>((U17-S17)/(150-95)*('темп граф'!$C$6-95)+'норм втрати'!S17+('норм втрати'!V17-'норм втрати'!T17)/(150-95)*('темп граф'!$C$6-95)+'норм втрати'!T17)/1.163</f>
        <v>68.553114984757286</v>
      </c>
      <c r="H78" s="64">
        <f>G78*0.7</f>
        <v>47.9871804893301</v>
      </c>
      <c r="I78" s="514"/>
      <c r="J78" s="515"/>
      <c r="K78" s="348">
        <f t="shared" si="4"/>
        <v>0</v>
      </c>
      <c r="L78" s="348">
        <f t="shared" si="4"/>
        <v>0</v>
      </c>
      <c r="M78" s="508"/>
      <c r="N78" s="509"/>
      <c r="O78" s="349">
        <f t="shared" si="5"/>
        <v>0</v>
      </c>
      <c r="P78" s="519"/>
      <c r="Q78" s="45"/>
    </row>
    <row r="79" spans="1:28" s="60" customFormat="1" outlineLevel="1" x14ac:dyDescent="0.25">
      <c r="A79" s="61">
        <v>250</v>
      </c>
      <c r="B79" s="61">
        <v>273</v>
      </c>
      <c r="C79" s="81">
        <v>0</v>
      </c>
      <c r="D79" s="81">
        <v>0</v>
      </c>
      <c r="E79" s="523"/>
      <c r="F79" s="524"/>
      <c r="G79" s="64">
        <f>((U18-S18)/(150-95)*('темп граф'!$C$6-95)+'норм втрати'!S18+('норм втрати'!V18-'норм втрати'!T18)/(150-95)*('темп граф'!$C$6-95)+'норм втрати'!T18)/1.163</f>
        <v>79.496599702962556</v>
      </c>
      <c r="H79" s="64">
        <f>G79*0.7</f>
        <v>55.647619792073783</v>
      </c>
      <c r="I79" s="514"/>
      <c r="J79" s="515"/>
      <c r="K79" s="348">
        <f t="shared" si="4"/>
        <v>0</v>
      </c>
      <c r="L79" s="348">
        <f t="shared" si="4"/>
        <v>0</v>
      </c>
      <c r="M79" s="508"/>
      <c r="N79" s="509"/>
      <c r="O79" s="349">
        <f t="shared" si="5"/>
        <v>0</v>
      </c>
      <c r="P79" s="519"/>
      <c r="Q79" s="45"/>
    </row>
    <row r="80" spans="1:28" s="60" customFormat="1" outlineLevel="1" x14ac:dyDescent="0.25">
      <c r="A80" s="61">
        <v>300</v>
      </c>
      <c r="B80" s="61">
        <v>325</v>
      </c>
      <c r="C80" s="81">
        <v>0</v>
      </c>
      <c r="D80" s="81">
        <v>0</v>
      </c>
      <c r="E80" s="523"/>
      <c r="F80" s="524"/>
      <c r="G80" s="64">
        <f>((U19-S19)/(150-95)*('темп граф'!$C$6-95)+'норм втрати'!S19+('норм втрати'!V19-'норм втрати'!T19)/(150-95)*('темп граф'!$C$6-95)+'норм втрати'!T19)/1.163</f>
        <v>84.499335574142108</v>
      </c>
      <c r="H80" s="64">
        <f>G80*0.7</f>
        <v>59.149534901899472</v>
      </c>
      <c r="I80" s="514"/>
      <c r="J80" s="515"/>
      <c r="K80" s="348">
        <f t="shared" si="4"/>
        <v>0</v>
      </c>
      <c r="L80" s="348">
        <f t="shared" si="4"/>
        <v>0</v>
      </c>
      <c r="M80" s="508"/>
      <c r="N80" s="509"/>
      <c r="O80" s="349">
        <f t="shared" si="5"/>
        <v>0</v>
      </c>
      <c r="P80" s="519"/>
      <c r="Q80" s="45"/>
    </row>
    <row r="81" spans="1:28" s="60" customFormat="1" outlineLevel="1" x14ac:dyDescent="0.25">
      <c r="A81" s="61">
        <v>350</v>
      </c>
      <c r="B81" s="61">
        <v>377</v>
      </c>
      <c r="C81" s="81">
        <v>0</v>
      </c>
      <c r="D81" s="81">
        <v>0</v>
      </c>
      <c r="E81" s="523"/>
      <c r="F81" s="524"/>
      <c r="G81" s="64">
        <f>((U20-S20)/(150-95)*('темп граф'!$C$6-95)+'норм втрати'!S20+('норм втрати'!V20-'норм втрати'!T20)/(150-95)*('темп граф'!$C$6-95)+'норм втрати'!T20)/1.163</f>
        <v>97.162510748065344</v>
      </c>
      <c r="H81" s="64">
        <f t="shared" ref="H81:H87" si="6">G81*0.8</f>
        <v>77.730008598452287</v>
      </c>
      <c r="I81" s="514"/>
      <c r="J81" s="515"/>
      <c r="K81" s="348">
        <f t="shared" si="4"/>
        <v>0</v>
      </c>
      <c r="L81" s="348">
        <f t="shared" si="4"/>
        <v>0</v>
      </c>
      <c r="M81" s="508"/>
      <c r="N81" s="509"/>
      <c r="O81" s="349">
        <f t="shared" si="5"/>
        <v>0</v>
      </c>
      <c r="P81" s="519"/>
      <c r="Q81" s="45"/>
    </row>
    <row r="82" spans="1:28" s="60" customFormat="1" outlineLevel="1" x14ac:dyDescent="0.25">
      <c r="A82" s="61">
        <v>400</v>
      </c>
      <c r="B82" s="61">
        <v>426</v>
      </c>
      <c r="C82" s="81">
        <v>0</v>
      </c>
      <c r="D82" s="81">
        <v>0</v>
      </c>
      <c r="E82" s="523"/>
      <c r="F82" s="524"/>
      <c r="G82" s="64">
        <f>((U21-S21)/(150-95)*('темп граф'!$C$6-95)+'норм втрати'!S21+('норм втрати'!V21-'норм втрати'!T21)/(150-95)*('темп граф'!$C$6-95)+'норм втрати'!T21)/1.163</f>
        <v>99.585710935667947</v>
      </c>
      <c r="H82" s="64">
        <f t="shared" si="6"/>
        <v>79.668568748534369</v>
      </c>
      <c r="I82" s="514"/>
      <c r="J82" s="515"/>
      <c r="K82" s="348">
        <f t="shared" si="4"/>
        <v>0</v>
      </c>
      <c r="L82" s="348">
        <f t="shared" si="4"/>
        <v>0</v>
      </c>
      <c r="M82" s="508"/>
      <c r="N82" s="509"/>
      <c r="O82" s="349">
        <f t="shared" si="5"/>
        <v>0</v>
      </c>
      <c r="P82" s="519"/>
      <c r="Q82" s="45"/>
    </row>
    <row r="83" spans="1:28" s="60" customFormat="1" outlineLevel="1" x14ac:dyDescent="0.25">
      <c r="A83" s="61">
        <v>450</v>
      </c>
      <c r="B83" s="61">
        <v>478</v>
      </c>
      <c r="C83" s="81">
        <v>0</v>
      </c>
      <c r="D83" s="81">
        <v>0</v>
      </c>
      <c r="E83" s="523"/>
      <c r="F83" s="524"/>
      <c r="G83" s="64">
        <f>((U22-S22)/(150-95)*('темп граф'!$C$6-95)+'норм втрати'!S22+('норм втрати'!V22-'норм втрати'!T22)/(150-95)*('темп граф'!$C$6-95)+'норм втрати'!T22)/1.163</f>
        <v>105.21378879074493</v>
      </c>
      <c r="H83" s="64">
        <f t="shared" si="6"/>
        <v>84.171031032595948</v>
      </c>
      <c r="I83" s="514"/>
      <c r="J83" s="515"/>
      <c r="K83" s="348">
        <f t="shared" si="4"/>
        <v>0</v>
      </c>
      <c r="L83" s="348">
        <f t="shared" si="4"/>
        <v>0</v>
      </c>
      <c r="M83" s="508"/>
      <c r="N83" s="509"/>
      <c r="O83" s="349">
        <f t="shared" si="5"/>
        <v>0</v>
      </c>
      <c r="P83" s="519"/>
      <c r="Q83" s="45"/>
    </row>
    <row r="84" spans="1:28" s="60" customFormat="1" outlineLevel="1" x14ac:dyDescent="0.25">
      <c r="A84" s="61">
        <v>500</v>
      </c>
      <c r="B84" s="61">
        <v>529</v>
      </c>
      <c r="C84" s="81">
        <v>0</v>
      </c>
      <c r="D84" s="81">
        <v>0</v>
      </c>
      <c r="E84" s="523"/>
      <c r="F84" s="524"/>
      <c r="G84" s="64">
        <f>((U23-S23)/(150-95)*('темп граф'!$C$6-95)+'норм втрати'!S23+('норм втрати'!V23-'норм втрати'!T23)/(150-95)*('темп граф'!$C$6-95)+'норм втрати'!T23)/1.163</f>
        <v>117.25162198077074</v>
      </c>
      <c r="H84" s="64">
        <f t="shared" si="6"/>
        <v>93.801297584616592</v>
      </c>
      <c r="I84" s="514"/>
      <c r="J84" s="515"/>
      <c r="K84" s="348">
        <f t="shared" si="4"/>
        <v>0</v>
      </c>
      <c r="L84" s="348">
        <f t="shared" si="4"/>
        <v>0</v>
      </c>
      <c r="M84" s="508"/>
      <c r="N84" s="509"/>
      <c r="O84" s="349">
        <f t="shared" si="5"/>
        <v>0</v>
      </c>
      <c r="P84" s="519"/>
      <c r="Q84" s="45"/>
    </row>
    <row r="85" spans="1:28" s="60" customFormat="1" outlineLevel="1" x14ac:dyDescent="0.25">
      <c r="A85" s="61">
        <v>600</v>
      </c>
      <c r="B85" s="61">
        <v>630</v>
      </c>
      <c r="C85" s="81">
        <v>0</v>
      </c>
      <c r="D85" s="81">
        <v>0</v>
      </c>
      <c r="E85" s="523"/>
      <c r="F85" s="524"/>
      <c r="G85" s="64">
        <f>((U24-S24)/(150-95)*('темп граф'!$C$6-95)+'норм втрати'!S24+('норм втрати'!V24-'норм втрати'!T24)/(150-95)*('темп граф'!$C$6-95)+'норм втрати'!T24)/1.163</f>
        <v>127.8824357070273</v>
      </c>
      <c r="H85" s="64">
        <f t="shared" si="6"/>
        <v>102.30594856562185</v>
      </c>
      <c r="I85" s="514"/>
      <c r="J85" s="515"/>
      <c r="K85" s="348">
        <f t="shared" si="4"/>
        <v>0</v>
      </c>
      <c r="L85" s="348">
        <f t="shared" si="4"/>
        <v>0</v>
      </c>
      <c r="M85" s="508"/>
      <c r="N85" s="509"/>
      <c r="O85" s="349">
        <f t="shared" si="5"/>
        <v>0</v>
      </c>
      <c r="P85" s="519"/>
      <c r="Q85" s="45"/>
    </row>
    <row r="86" spans="1:28" s="60" customFormat="1" outlineLevel="1" x14ac:dyDescent="0.25">
      <c r="A86" s="61">
        <v>700</v>
      </c>
      <c r="B86" s="61">
        <v>720</v>
      </c>
      <c r="C86" s="81">
        <v>0</v>
      </c>
      <c r="D86" s="81">
        <v>0</v>
      </c>
      <c r="E86" s="523"/>
      <c r="F86" s="524"/>
      <c r="G86" s="64">
        <f>((U25-S25)/(150-95)*('темп граф'!$C$6-95)+'норм втрати'!S25+('норм втрати'!V25-'норм втрати'!T25)/(150-95)*('темп граф'!$C$6-95)+'норм втрати'!T25)/1.163</f>
        <v>133.35417806612992</v>
      </c>
      <c r="H86" s="64">
        <f t="shared" si="6"/>
        <v>106.68334245290394</v>
      </c>
      <c r="I86" s="514"/>
      <c r="J86" s="515"/>
      <c r="K86" s="348">
        <f t="shared" si="4"/>
        <v>0</v>
      </c>
      <c r="L86" s="348">
        <f t="shared" si="4"/>
        <v>0</v>
      </c>
      <c r="M86" s="508"/>
      <c r="N86" s="509"/>
      <c r="O86" s="349">
        <f t="shared" si="5"/>
        <v>0</v>
      </c>
      <c r="P86" s="519"/>
      <c r="Q86" s="45"/>
    </row>
    <row r="87" spans="1:28" s="60" customFormat="1" outlineLevel="1" x14ac:dyDescent="0.25">
      <c r="A87" s="61">
        <v>800</v>
      </c>
      <c r="B87" s="61">
        <v>820</v>
      </c>
      <c r="C87" s="81">
        <v>0</v>
      </c>
      <c r="D87" s="81">
        <v>0</v>
      </c>
      <c r="E87" s="523"/>
      <c r="F87" s="524"/>
      <c r="G87" s="64">
        <f>((U26-S26)/(150-95)*('темп граф'!$C$6-95)+'норм втрати'!S26+('норм втрати'!V26-'норм втрати'!T26)/(150-95)*('темп граф'!$C$6-95)+'норм втрати'!T26)/1.163</f>
        <v>153.13061830688659</v>
      </c>
      <c r="H87" s="64">
        <f t="shared" si="6"/>
        <v>122.50449464550928</v>
      </c>
      <c r="I87" s="514"/>
      <c r="J87" s="515"/>
      <c r="K87" s="348">
        <f t="shared" si="4"/>
        <v>0</v>
      </c>
      <c r="L87" s="348">
        <f t="shared" si="4"/>
        <v>0</v>
      </c>
      <c r="M87" s="508"/>
      <c r="N87" s="509"/>
      <c r="O87" s="349">
        <f t="shared" si="5"/>
        <v>0</v>
      </c>
      <c r="P87" s="519"/>
      <c r="Q87" s="45"/>
    </row>
    <row r="88" spans="1:28" s="38" customFormat="1" ht="45.75" customHeight="1" x14ac:dyDescent="0.25">
      <c r="A88" s="496" t="s">
        <v>51</v>
      </c>
      <c r="B88" s="497"/>
      <c r="C88" s="36">
        <f>SUM(C70:C87)</f>
        <v>0</v>
      </c>
      <c r="D88" s="36">
        <f>SUM(D70:D87)</f>
        <v>0</v>
      </c>
      <c r="E88" s="525"/>
      <c r="F88" s="526"/>
      <c r="G88" s="23">
        <f>IF(C88=0,0,SUMPRODUCT(C70:C87,G70:G87)/C88)</f>
        <v>0</v>
      </c>
      <c r="H88" s="23">
        <f>IF(D88=0,0,SUMPRODUCT(D70:D87,H70:H87)/D88)</f>
        <v>0</v>
      </c>
      <c r="I88" s="516"/>
      <c r="J88" s="517"/>
      <c r="K88" s="350">
        <f>SUM(K70:K87)</f>
        <v>0</v>
      </c>
      <c r="L88" s="350">
        <f>SUM(L70:L87)</f>
        <v>0</v>
      </c>
      <c r="M88" s="510"/>
      <c r="N88" s="511"/>
      <c r="O88" s="351">
        <f>SUM(O70:O87)</f>
        <v>0</v>
      </c>
      <c r="P88" s="520"/>
      <c r="Q88" s="37"/>
    </row>
    <row r="89" spans="1:28" s="62" customFormat="1" ht="33" customHeight="1" x14ac:dyDescent="0.25">
      <c r="A89" s="502" t="s">
        <v>69</v>
      </c>
      <c r="B89" s="503"/>
      <c r="C89" s="503"/>
      <c r="D89" s="503"/>
      <c r="E89" s="503"/>
      <c r="F89" s="503"/>
      <c r="G89" s="503"/>
      <c r="H89" s="503"/>
      <c r="I89" s="503"/>
      <c r="J89" s="503"/>
      <c r="K89" s="503"/>
      <c r="L89" s="503"/>
      <c r="M89" s="503"/>
      <c r="N89" s="503"/>
      <c r="O89" s="503"/>
      <c r="P89" s="505"/>
      <c r="Q89" s="82"/>
    </row>
    <row r="90" spans="1:28" s="32" customFormat="1" ht="93" customHeight="1" x14ac:dyDescent="0.25">
      <c r="A90" s="32" t="s">
        <v>30</v>
      </c>
      <c r="B90" s="32" t="s">
        <v>31</v>
      </c>
      <c r="C90" s="32" t="s">
        <v>32</v>
      </c>
      <c r="D90" s="32" t="s">
        <v>33</v>
      </c>
      <c r="E90" s="521"/>
      <c r="F90" s="522"/>
      <c r="G90" s="32" t="s">
        <v>34</v>
      </c>
      <c r="H90" s="32" t="s">
        <v>35</v>
      </c>
      <c r="I90" s="512"/>
      <c r="J90" s="513"/>
      <c r="K90" s="352" t="s">
        <v>38</v>
      </c>
      <c r="L90" s="352" t="s">
        <v>39</v>
      </c>
      <c r="M90" s="506"/>
      <c r="N90" s="507"/>
      <c r="O90" s="353" t="s">
        <v>42</v>
      </c>
      <c r="P90" s="518"/>
      <c r="Q90" s="29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1"/>
    </row>
    <row r="91" spans="1:28" s="30" customFormat="1" ht="14.25" x14ac:dyDescent="0.25">
      <c r="A91" s="33" t="s">
        <v>44</v>
      </c>
      <c r="B91" s="33" t="s">
        <v>44</v>
      </c>
      <c r="C91" s="33" t="s">
        <v>45</v>
      </c>
      <c r="D91" s="33" t="s">
        <v>45</v>
      </c>
      <c r="E91" s="523"/>
      <c r="F91" s="524"/>
      <c r="G91" s="33" t="s">
        <v>46</v>
      </c>
      <c r="H91" s="33" t="s">
        <v>46</v>
      </c>
      <c r="I91" s="514"/>
      <c r="J91" s="515"/>
      <c r="K91" s="346" t="s">
        <v>17</v>
      </c>
      <c r="L91" s="346" t="s">
        <v>17</v>
      </c>
      <c r="M91" s="508"/>
      <c r="N91" s="509"/>
      <c r="O91" s="347" t="s">
        <v>47</v>
      </c>
      <c r="P91" s="519"/>
      <c r="Q91" s="35"/>
    </row>
    <row r="92" spans="1:28" s="60" customFormat="1" outlineLevel="1" x14ac:dyDescent="0.25">
      <c r="A92" s="61">
        <v>25</v>
      </c>
      <c r="B92" s="61">
        <v>32</v>
      </c>
      <c r="C92" s="81">
        <v>0</v>
      </c>
      <c r="D92" s="81">
        <v>0</v>
      </c>
      <c r="E92" s="523"/>
      <c r="F92" s="524"/>
      <c r="G92" s="64">
        <f>(IF($I$32-$I$37&gt;$X$8-$I$40,X9+(Y9-X9)*($I$32-$I$37-$X$8+$I$40)/($Y$8-$X$8+$I$40),W9+(X9-W9)*($I$32-$I$37-$W$8+$I$40)/($X$8-$W$8)))/1.163</f>
        <v>5.9870071642881264</v>
      </c>
      <c r="H92" s="64">
        <f>G92*0.5</f>
        <v>2.9935035821440632</v>
      </c>
      <c r="I92" s="514"/>
      <c r="J92" s="515"/>
      <c r="K92" s="348">
        <f t="shared" ref="K92:L98" si="7">C92*G92*$I$39*1.2/1000000*24*$P$36</f>
        <v>0</v>
      </c>
      <c r="L92" s="348">
        <f t="shared" si="7"/>
        <v>0</v>
      </c>
      <c r="M92" s="508"/>
      <c r="N92" s="509"/>
      <c r="O92" s="349">
        <f>(C92+D92)*A92*A92/1000000/4*(3.1416*24*0.0025)</f>
        <v>0</v>
      </c>
      <c r="P92" s="519"/>
      <c r="Q92" s="45"/>
    </row>
    <row r="93" spans="1:28" s="60" customFormat="1" outlineLevel="1" x14ac:dyDescent="0.25">
      <c r="A93" s="61">
        <v>40</v>
      </c>
      <c r="B93" s="61">
        <v>45</v>
      </c>
      <c r="C93" s="81">
        <v>0</v>
      </c>
      <c r="D93" s="81">
        <v>0</v>
      </c>
      <c r="E93" s="523"/>
      <c r="F93" s="524"/>
      <c r="G93" s="64">
        <f t="shared" ref="G93:G111" si="8">(IF($I$32-$I$37&gt;$X$8-$I$40,X10+(Y10-X10)*($I$32-$I$37-$X$8+$I$40)/($Y$8-$X$8+$I$40),W10+(X10-W10)*($I$32-$I$37-$W$8+$I$40)/($X$8-$W$8)))/1.163</f>
        <v>6.841534153692983</v>
      </c>
      <c r="H93" s="64">
        <f>G93*0.5</f>
        <v>3.4207670768464915</v>
      </c>
      <c r="I93" s="514"/>
      <c r="J93" s="515"/>
      <c r="K93" s="348">
        <f t="shared" si="7"/>
        <v>0</v>
      </c>
      <c r="L93" s="348">
        <f t="shared" si="7"/>
        <v>0</v>
      </c>
      <c r="M93" s="508"/>
      <c r="N93" s="509"/>
      <c r="O93" s="349">
        <f t="shared" ref="O93:O110" si="9">(C93+D93)*A93*A93/1000000/4*(3.1416*24*0.0025)</f>
        <v>0</v>
      </c>
      <c r="P93" s="519"/>
      <c r="Q93" s="45"/>
    </row>
    <row r="94" spans="1:28" s="60" customFormat="1" outlineLevel="1" x14ac:dyDescent="0.25">
      <c r="A94" s="61">
        <v>50</v>
      </c>
      <c r="B94" s="61">
        <v>57</v>
      </c>
      <c r="C94" s="81">
        <v>0</v>
      </c>
      <c r="D94" s="81">
        <v>0</v>
      </c>
      <c r="E94" s="523"/>
      <c r="F94" s="524"/>
      <c r="G94" s="64">
        <f t="shared" si="8"/>
        <v>8.561224609410953</v>
      </c>
      <c r="H94" s="64">
        <f>G94*0.5</f>
        <v>4.2806123047054765</v>
      </c>
      <c r="I94" s="514"/>
      <c r="J94" s="515"/>
      <c r="K94" s="348">
        <f t="shared" si="7"/>
        <v>0</v>
      </c>
      <c r="L94" s="348">
        <f t="shared" si="7"/>
        <v>0</v>
      </c>
      <c r="M94" s="508"/>
      <c r="N94" s="509"/>
      <c r="O94" s="349">
        <f t="shared" si="9"/>
        <v>0</v>
      </c>
      <c r="P94" s="519"/>
      <c r="Q94" s="45"/>
    </row>
    <row r="95" spans="1:28" s="60" customFormat="1" outlineLevel="1" x14ac:dyDescent="0.25">
      <c r="A95" s="61">
        <v>65</v>
      </c>
      <c r="B95" s="61">
        <v>76</v>
      </c>
      <c r="C95" s="81">
        <v>0</v>
      </c>
      <c r="D95" s="81">
        <v>0</v>
      </c>
      <c r="E95" s="523"/>
      <c r="F95" s="524"/>
      <c r="G95" s="64">
        <f t="shared" si="8"/>
        <v>8.9831698656592511</v>
      </c>
      <c r="H95" s="64">
        <f>G95*0.5</f>
        <v>4.4915849328296256</v>
      </c>
      <c r="I95" s="514"/>
      <c r="J95" s="515"/>
      <c r="K95" s="348">
        <f t="shared" si="7"/>
        <v>0</v>
      </c>
      <c r="L95" s="348">
        <f t="shared" si="7"/>
        <v>0</v>
      </c>
      <c r="M95" s="508"/>
      <c r="N95" s="509"/>
      <c r="O95" s="349">
        <f t="shared" si="9"/>
        <v>0</v>
      </c>
      <c r="P95" s="519"/>
      <c r="Q95" s="45"/>
    </row>
    <row r="96" spans="1:28" s="60" customFormat="1" outlineLevel="1" x14ac:dyDescent="0.25">
      <c r="A96" s="61">
        <v>80</v>
      </c>
      <c r="B96" s="61">
        <v>89</v>
      </c>
      <c r="C96" s="81">
        <v>0</v>
      </c>
      <c r="D96" s="81">
        <v>0</v>
      </c>
      <c r="E96" s="523"/>
      <c r="F96" s="524"/>
      <c r="G96" s="64">
        <f t="shared" si="8"/>
        <v>10.270278588220666</v>
      </c>
      <c r="H96" s="64">
        <f>G96*0.6</f>
        <v>6.1621671529323994</v>
      </c>
      <c r="I96" s="514"/>
      <c r="J96" s="515"/>
      <c r="K96" s="348">
        <f t="shared" si="7"/>
        <v>0</v>
      </c>
      <c r="L96" s="348">
        <f t="shared" si="7"/>
        <v>0</v>
      </c>
      <c r="M96" s="508"/>
      <c r="N96" s="509"/>
      <c r="O96" s="349">
        <f t="shared" si="9"/>
        <v>0</v>
      </c>
      <c r="P96" s="519"/>
      <c r="Q96" s="45"/>
    </row>
    <row r="97" spans="1:17" s="60" customFormat="1" outlineLevel="1" x14ac:dyDescent="0.25">
      <c r="A97" s="61">
        <v>100</v>
      </c>
      <c r="B97" s="61">
        <v>108</v>
      </c>
      <c r="C97" s="81">
        <v>0</v>
      </c>
      <c r="D97" s="81">
        <v>0</v>
      </c>
      <c r="E97" s="523"/>
      <c r="F97" s="524"/>
      <c r="G97" s="64">
        <f t="shared" si="8"/>
        <v>12.417232538641064</v>
      </c>
      <c r="H97" s="64">
        <f>G97*0.6</f>
        <v>7.4503395231846383</v>
      </c>
      <c r="I97" s="514"/>
      <c r="J97" s="515"/>
      <c r="K97" s="348">
        <f t="shared" si="7"/>
        <v>0</v>
      </c>
      <c r="L97" s="348">
        <f t="shared" si="7"/>
        <v>0</v>
      </c>
      <c r="M97" s="508"/>
      <c r="N97" s="509"/>
      <c r="O97" s="349">
        <f t="shared" si="9"/>
        <v>0</v>
      </c>
      <c r="P97" s="519"/>
      <c r="Q97" s="45"/>
    </row>
    <row r="98" spans="1:17" s="60" customFormat="1" outlineLevel="1" x14ac:dyDescent="0.25">
      <c r="A98" s="61">
        <v>125</v>
      </c>
      <c r="B98" s="61">
        <v>133</v>
      </c>
      <c r="C98" s="81">
        <v>0</v>
      </c>
      <c r="D98" s="81">
        <v>0</v>
      </c>
      <c r="E98" s="523"/>
      <c r="F98" s="524"/>
      <c r="G98" s="64">
        <f t="shared" si="8"/>
        <v>13.699023022748349</v>
      </c>
      <c r="H98" s="64">
        <f>G98*0.6</f>
        <v>8.2194138136490089</v>
      </c>
      <c r="I98" s="514"/>
      <c r="J98" s="515"/>
      <c r="K98" s="348">
        <f t="shared" si="7"/>
        <v>0</v>
      </c>
      <c r="L98" s="348">
        <f t="shared" si="7"/>
        <v>0</v>
      </c>
      <c r="M98" s="508"/>
      <c r="N98" s="509"/>
      <c r="O98" s="349">
        <f t="shared" si="9"/>
        <v>0</v>
      </c>
      <c r="P98" s="519"/>
      <c r="Q98" s="45"/>
    </row>
    <row r="99" spans="1:17" s="60" customFormat="1" outlineLevel="1" x14ac:dyDescent="0.25">
      <c r="A99" s="61">
        <v>150</v>
      </c>
      <c r="B99" s="61">
        <v>159</v>
      </c>
      <c r="C99" s="81">
        <v>0</v>
      </c>
      <c r="D99" s="81">
        <v>0</v>
      </c>
      <c r="E99" s="523"/>
      <c r="F99" s="524"/>
      <c r="G99" s="64">
        <f t="shared" si="8"/>
        <v>15.413395240012193</v>
      </c>
      <c r="H99" s="64">
        <f>G99*0.6</f>
        <v>9.2480371440073146</v>
      </c>
      <c r="I99" s="514"/>
      <c r="J99" s="515"/>
      <c r="K99" s="348">
        <f>C99*G99*$I$39*1.15/1000000*24*$P$36</f>
        <v>0</v>
      </c>
      <c r="L99" s="348">
        <f>D99*H99*$I$39*1.15/1000000*24*$P$36</f>
        <v>0</v>
      </c>
      <c r="M99" s="508"/>
      <c r="N99" s="509"/>
      <c r="O99" s="349">
        <f t="shared" si="9"/>
        <v>0</v>
      </c>
      <c r="P99" s="519"/>
      <c r="Q99" s="45"/>
    </row>
    <row r="100" spans="1:17" s="60" customFormat="1" outlineLevel="1" x14ac:dyDescent="0.25">
      <c r="A100" s="61">
        <v>200</v>
      </c>
      <c r="B100" s="61">
        <v>219</v>
      </c>
      <c r="C100" s="81">
        <v>0</v>
      </c>
      <c r="D100" s="81">
        <v>0</v>
      </c>
      <c r="E100" s="523"/>
      <c r="F100" s="524"/>
      <c r="G100" s="64">
        <f t="shared" si="8"/>
        <v>19.701984902398863</v>
      </c>
      <c r="H100" s="64">
        <f>G100*0.7</f>
        <v>13.791389431679203</v>
      </c>
      <c r="I100" s="514"/>
      <c r="J100" s="515"/>
      <c r="K100" s="348">
        <f t="shared" ref="K100:L111" si="10">C100*G100*$I$39*1.15/1000000*24*$P$36</f>
        <v>0</v>
      </c>
      <c r="L100" s="348">
        <f t="shared" si="10"/>
        <v>0</v>
      </c>
      <c r="M100" s="508"/>
      <c r="N100" s="509"/>
      <c r="O100" s="349">
        <f t="shared" si="9"/>
        <v>0</v>
      </c>
      <c r="P100" s="519"/>
      <c r="Q100" s="45"/>
    </row>
    <row r="101" spans="1:17" s="60" customFormat="1" outlineLevel="1" x14ac:dyDescent="0.25">
      <c r="A101" s="61">
        <v>250</v>
      </c>
      <c r="B101" s="61">
        <v>273</v>
      </c>
      <c r="C101" s="81">
        <v>0</v>
      </c>
      <c r="D101" s="81">
        <v>0</v>
      </c>
      <c r="E101" s="523"/>
      <c r="F101" s="524"/>
      <c r="G101" s="64">
        <f t="shared" si="8"/>
        <v>23.130729336926546</v>
      </c>
      <c r="H101" s="64">
        <f>G101*0.7</f>
        <v>16.191510535848582</v>
      </c>
      <c r="I101" s="514"/>
      <c r="J101" s="515"/>
      <c r="K101" s="348">
        <f t="shared" si="10"/>
        <v>0</v>
      </c>
      <c r="L101" s="348">
        <f t="shared" si="10"/>
        <v>0</v>
      </c>
      <c r="M101" s="508"/>
      <c r="N101" s="509"/>
      <c r="O101" s="349">
        <f t="shared" si="9"/>
        <v>0</v>
      </c>
      <c r="P101" s="519"/>
      <c r="Q101" s="45"/>
    </row>
    <row r="102" spans="1:17" s="60" customFormat="1" outlineLevel="1" x14ac:dyDescent="0.25">
      <c r="A102" s="61">
        <v>300</v>
      </c>
      <c r="B102" s="61">
        <v>325</v>
      </c>
      <c r="C102" s="81">
        <v>0</v>
      </c>
      <c r="D102" s="81">
        <v>0</v>
      </c>
      <c r="E102" s="523"/>
      <c r="F102" s="524"/>
      <c r="G102" s="64">
        <f t="shared" si="8"/>
        <v>26.992055504610789</v>
      </c>
      <c r="H102" s="64">
        <f>G102*0.7</f>
        <v>18.894438853227552</v>
      </c>
      <c r="I102" s="514"/>
      <c r="J102" s="515"/>
      <c r="K102" s="348">
        <f t="shared" si="10"/>
        <v>0</v>
      </c>
      <c r="L102" s="348">
        <f t="shared" si="10"/>
        <v>0</v>
      </c>
      <c r="M102" s="508"/>
      <c r="N102" s="509"/>
      <c r="O102" s="349">
        <f t="shared" si="9"/>
        <v>0</v>
      </c>
      <c r="P102" s="519"/>
      <c r="Q102" s="45"/>
    </row>
    <row r="103" spans="1:17" s="60" customFormat="1" outlineLevel="1" x14ac:dyDescent="0.25">
      <c r="A103" s="61">
        <v>350</v>
      </c>
      <c r="B103" s="61">
        <v>377</v>
      </c>
      <c r="C103" s="81">
        <v>0</v>
      </c>
      <c r="D103" s="81">
        <v>0</v>
      </c>
      <c r="E103" s="523"/>
      <c r="F103" s="524"/>
      <c r="G103" s="64">
        <f t="shared" si="8"/>
        <v>30.853381672295026</v>
      </c>
      <c r="H103" s="64">
        <f t="shared" ref="H103:H111" si="11">G103*0.8</f>
        <v>24.682705337836023</v>
      </c>
      <c r="I103" s="514"/>
      <c r="J103" s="515"/>
      <c r="K103" s="348">
        <f t="shared" si="10"/>
        <v>0</v>
      </c>
      <c r="L103" s="348">
        <f t="shared" si="10"/>
        <v>0</v>
      </c>
      <c r="M103" s="508"/>
      <c r="N103" s="509"/>
      <c r="O103" s="349">
        <f t="shared" si="9"/>
        <v>0</v>
      </c>
      <c r="P103" s="519"/>
      <c r="Q103" s="45"/>
    </row>
    <row r="104" spans="1:17" s="60" customFormat="1" outlineLevel="1" x14ac:dyDescent="0.25">
      <c r="A104" s="61">
        <v>400</v>
      </c>
      <c r="B104" s="61">
        <v>426</v>
      </c>
      <c r="C104" s="81">
        <v>0</v>
      </c>
      <c r="D104" s="81">
        <v>0</v>
      </c>
      <c r="E104" s="523"/>
      <c r="F104" s="524"/>
      <c r="G104" s="64">
        <f t="shared" si="8"/>
        <v>34.714707839979269</v>
      </c>
      <c r="H104" s="64">
        <f t="shared" si="11"/>
        <v>27.771766271983417</v>
      </c>
      <c r="I104" s="514"/>
      <c r="J104" s="515"/>
      <c r="K104" s="348">
        <f t="shared" si="10"/>
        <v>0</v>
      </c>
      <c r="L104" s="348">
        <f t="shared" si="10"/>
        <v>0</v>
      </c>
      <c r="M104" s="508"/>
      <c r="N104" s="509"/>
      <c r="O104" s="349">
        <f t="shared" si="9"/>
        <v>0</v>
      </c>
      <c r="P104" s="519"/>
      <c r="Q104" s="45"/>
    </row>
    <row r="105" spans="1:17" s="60" customFormat="1" outlineLevel="1" x14ac:dyDescent="0.25">
      <c r="A105" s="61">
        <v>450</v>
      </c>
      <c r="B105" s="61">
        <v>478</v>
      </c>
      <c r="C105" s="81">
        <v>0</v>
      </c>
      <c r="D105" s="81">
        <v>0</v>
      </c>
      <c r="E105" s="523"/>
      <c r="F105" s="524"/>
      <c r="G105" s="64">
        <f t="shared" si="8"/>
        <v>36.856343551945542</v>
      </c>
      <c r="H105" s="64">
        <f t="shared" si="11"/>
        <v>29.485074841556436</v>
      </c>
      <c r="I105" s="514"/>
      <c r="J105" s="515"/>
      <c r="K105" s="348">
        <f t="shared" si="10"/>
        <v>0</v>
      </c>
      <c r="L105" s="348">
        <f t="shared" si="10"/>
        <v>0</v>
      </c>
      <c r="M105" s="508"/>
      <c r="N105" s="509"/>
      <c r="O105" s="349">
        <f t="shared" si="9"/>
        <v>0</v>
      </c>
      <c r="P105" s="519"/>
      <c r="Q105" s="45"/>
    </row>
    <row r="106" spans="1:17" s="60" customFormat="1" outlineLevel="1" x14ac:dyDescent="0.25">
      <c r="A106" s="61">
        <v>500</v>
      </c>
      <c r="B106" s="61">
        <v>529</v>
      </c>
      <c r="C106" s="81">
        <v>0</v>
      </c>
      <c r="D106" s="81">
        <v>0</v>
      </c>
      <c r="E106" s="523"/>
      <c r="F106" s="524"/>
      <c r="G106" s="64">
        <f t="shared" si="8"/>
        <v>40.285087986473229</v>
      </c>
      <c r="H106" s="64">
        <f t="shared" si="11"/>
        <v>32.228070389178583</v>
      </c>
      <c r="I106" s="514"/>
      <c r="J106" s="515"/>
      <c r="K106" s="348">
        <f t="shared" si="10"/>
        <v>0</v>
      </c>
      <c r="L106" s="348">
        <f t="shared" si="10"/>
        <v>0</v>
      </c>
      <c r="M106" s="508"/>
      <c r="N106" s="509"/>
      <c r="O106" s="349">
        <f t="shared" si="9"/>
        <v>0</v>
      </c>
      <c r="P106" s="519"/>
      <c r="Q106" s="45"/>
    </row>
    <row r="107" spans="1:17" s="60" customFormat="1" outlineLevel="1" x14ac:dyDescent="0.25">
      <c r="A107" s="61">
        <v>600</v>
      </c>
      <c r="B107" s="61">
        <v>630</v>
      </c>
      <c r="C107" s="81">
        <v>0</v>
      </c>
      <c r="D107" s="81">
        <v>0</v>
      </c>
      <c r="E107" s="523"/>
      <c r="F107" s="524"/>
      <c r="G107" s="64">
        <f t="shared" si="8"/>
        <v>49.743385492922066</v>
      </c>
      <c r="H107" s="64">
        <f t="shared" si="11"/>
        <v>39.794708394337654</v>
      </c>
      <c r="I107" s="514"/>
      <c r="J107" s="515"/>
      <c r="K107" s="348">
        <f t="shared" si="10"/>
        <v>0</v>
      </c>
      <c r="L107" s="348">
        <f t="shared" si="10"/>
        <v>0</v>
      </c>
      <c r="M107" s="508"/>
      <c r="N107" s="509"/>
      <c r="O107" s="349">
        <f t="shared" si="9"/>
        <v>0</v>
      </c>
      <c r="P107" s="519"/>
      <c r="Q107" s="45"/>
    </row>
    <row r="108" spans="1:17" s="60" customFormat="1" outlineLevel="1" x14ac:dyDescent="0.25">
      <c r="A108" s="61">
        <v>700</v>
      </c>
      <c r="B108" s="61">
        <v>720</v>
      </c>
      <c r="C108" s="81">
        <v>0</v>
      </c>
      <c r="D108" s="81">
        <v>0</v>
      </c>
      <c r="E108" s="523"/>
      <c r="F108" s="524"/>
      <c r="G108" s="64">
        <f t="shared" si="8"/>
        <v>53.583438706789785</v>
      </c>
      <c r="H108" s="64">
        <f t="shared" si="11"/>
        <v>42.866750965431834</v>
      </c>
      <c r="I108" s="514"/>
      <c r="J108" s="515"/>
      <c r="K108" s="348">
        <f t="shared" si="10"/>
        <v>0</v>
      </c>
      <c r="L108" s="348">
        <f t="shared" si="10"/>
        <v>0</v>
      </c>
      <c r="M108" s="508"/>
      <c r="N108" s="509"/>
      <c r="O108" s="349">
        <f t="shared" si="9"/>
        <v>0</v>
      </c>
      <c r="P108" s="519"/>
      <c r="Q108" s="45"/>
    </row>
    <row r="109" spans="1:17" s="60" customFormat="1" outlineLevel="1" x14ac:dyDescent="0.25">
      <c r="A109" s="61">
        <v>800</v>
      </c>
      <c r="B109" s="61">
        <v>820</v>
      </c>
      <c r="C109" s="81">
        <v>0</v>
      </c>
      <c r="D109" s="81">
        <v>0</v>
      </c>
      <c r="E109" s="523"/>
      <c r="F109" s="524"/>
      <c r="G109" s="64">
        <f t="shared" si="8"/>
        <v>60.878827547455835</v>
      </c>
      <c r="H109" s="64">
        <f t="shared" si="11"/>
        <v>48.703062037964671</v>
      </c>
      <c r="I109" s="514"/>
      <c r="J109" s="515"/>
      <c r="K109" s="348">
        <f t="shared" si="10"/>
        <v>0</v>
      </c>
      <c r="L109" s="348">
        <f t="shared" si="10"/>
        <v>0</v>
      </c>
      <c r="M109" s="508"/>
      <c r="N109" s="509"/>
      <c r="O109" s="349">
        <f t="shared" si="9"/>
        <v>0</v>
      </c>
      <c r="P109" s="519"/>
      <c r="Q109" s="45"/>
    </row>
    <row r="110" spans="1:17" s="60" customFormat="1" outlineLevel="1" x14ac:dyDescent="0.25">
      <c r="A110" s="61">
        <v>900</v>
      </c>
      <c r="B110" s="61">
        <v>920</v>
      </c>
      <c r="C110" s="81">
        <v>0</v>
      </c>
      <c r="D110" s="81">
        <v>0</v>
      </c>
      <c r="E110" s="523"/>
      <c r="F110" s="524"/>
      <c r="G110" s="64">
        <f t="shared" si="8"/>
        <v>66.449207693949788</v>
      </c>
      <c r="H110" s="64">
        <f t="shared" si="11"/>
        <v>53.15936615515983</v>
      </c>
      <c r="I110" s="514"/>
      <c r="J110" s="515"/>
      <c r="K110" s="348">
        <f t="shared" si="10"/>
        <v>0</v>
      </c>
      <c r="L110" s="348">
        <f t="shared" si="10"/>
        <v>0</v>
      </c>
      <c r="M110" s="508"/>
      <c r="N110" s="509"/>
      <c r="O110" s="349">
        <f t="shared" si="9"/>
        <v>0</v>
      </c>
      <c r="P110" s="519"/>
      <c r="Q110" s="45"/>
    </row>
    <row r="111" spans="1:17" s="60" customFormat="1" outlineLevel="1" x14ac:dyDescent="0.25">
      <c r="A111" s="61">
        <v>1000</v>
      </c>
      <c r="B111" s="61">
        <v>1020</v>
      </c>
      <c r="C111" s="81">
        <v>0</v>
      </c>
      <c r="D111" s="81">
        <v>0</v>
      </c>
      <c r="E111" s="523"/>
      <c r="F111" s="524"/>
      <c r="G111" s="64">
        <f t="shared" si="8"/>
        <v>73.312014801459298</v>
      </c>
      <c r="H111" s="64">
        <f t="shared" si="11"/>
        <v>58.649611841167442</v>
      </c>
      <c r="I111" s="514"/>
      <c r="J111" s="515"/>
      <c r="K111" s="348">
        <f t="shared" si="10"/>
        <v>0</v>
      </c>
      <c r="L111" s="348">
        <f t="shared" si="10"/>
        <v>0</v>
      </c>
      <c r="M111" s="508"/>
      <c r="N111" s="509"/>
      <c r="O111" s="349">
        <f>(C111+D111)*A111*A111/1000000/4*(3.1416*24*0.0025)</f>
        <v>0</v>
      </c>
      <c r="P111" s="519"/>
      <c r="Q111" s="45"/>
    </row>
    <row r="112" spans="1:17" s="38" customFormat="1" ht="41.25" customHeight="1" x14ac:dyDescent="0.25">
      <c r="A112" s="496" t="s">
        <v>52</v>
      </c>
      <c r="B112" s="497"/>
      <c r="C112" s="36">
        <f>SUM(C92:C111)</f>
        <v>0</v>
      </c>
      <c r="D112" s="36">
        <f>SUM(D92:D111)</f>
        <v>0</v>
      </c>
      <c r="E112" s="525"/>
      <c r="F112" s="526"/>
      <c r="G112" s="23">
        <f>IF(C112=0,0,SUMPRODUCT(C92:C111,G92:G111)/C112)</f>
        <v>0</v>
      </c>
      <c r="H112" s="23">
        <f>IF(D112=0,0,SUMPRODUCT(D92:D111,H92:H111)/D112)</f>
        <v>0</v>
      </c>
      <c r="I112" s="516"/>
      <c r="J112" s="517"/>
      <c r="K112" s="350">
        <f>SUM(K92:K111)</f>
        <v>0</v>
      </c>
      <c r="L112" s="350">
        <f>SUM(L92:L111)</f>
        <v>0</v>
      </c>
      <c r="M112" s="510"/>
      <c r="N112" s="511"/>
      <c r="O112" s="351">
        <f>SUM(O92:O111)</f>
        <v>0</v>
      </c>
      <c r="P112" s="520"/>
      <c r="Q112" s="37"/>
    </row>
    <row r="113" spans="1:28" s="62" customFormat="1" ht="35.25" customHeight="1" thickBot="1" x14ac:dyDescent="0.3">
      <c r="A113" s="501" t="s">
        <v>70</v>
      </c>
      <c r="B113" s="501"/>
      <c r="C113" s="501"/>
      <c r="D113" s="501"/>
      <c r="E113" s="501"/>
      <c r="F113" s="501"/>
      <c r="G113" s="501"/>
      <c r="H113" s="501"/>
      <c r="I113" s="501"/>
      <c r="J113" s="501"/>
      <c r="K113" s="501"/>
      <c r="L113" s="501"/>
      <c r="M113" s="501"/>
      <c r="N113" s="501"/>
      <c r="O113" s="501"/>
      <c r="P113" s="528"/>
      <c r="Q113" s="82"/>
    </row>
    <row r="114" spans="1:28" s="32" customFormat="1" ht="93" customHeight="1" x14ac:dyDescent="0.25">
      <c r="A114" s="32" t="s">
        <v>30</v>
      </c>
      <c r="B114" s="32" t="s">
        <v>31</v>
      </c>
      <c r="C114" s="32" t="s">
        <v>32</v>
      </c>
      <c r="D114" s="32" t="s">
        <v>33</v>
      </c>
      <c r="E114" s="521"/>
      <c r="F114" s="522"/>
      <c r="G114" s="32" t="s">
        <v>34</v>
      </c>
      <c r="H114" s="32" t="s">
        <v>35</v>
      </c>
      <c r="I114" s="512"/>
      <c r="J114" s="513"/>
      <c r="K114" s="352" t="s">
        <v>38</v>
      </c>
      <c r="L114" s="352" t="s">
        <v>39</v>
      </c>
      <c r="M114" s="506"/>
      <c r="N114" s="507"/>
      <c r="O114" s="354" t="s">
        <v>42</v>
      </c>
      <c r="P114" s="498"/>
      <c r="Q114" s="35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1"/>
    </row>
    <row r="115" spans="1:28" s="30" customFormat="1" ht="16.5" customHeight="1" x14ac:dyDescent="0.25">
      <c r="A115" s="33" t="s">
        <v>44</v>
      </c>
      <c r="B115" s="33" t="s">
        <v>44</v>
      </c>
      <c r="C115" s="33" t="s">
        <v>45</v>
      </c>
      <c r="D115" s="33" t="s">
        <v>45</v>
      </c>
      <c r="E115" s="523"/>
      <c r="F115" s="524"/>
      <c r="G115" s="33" t="s">
        <v>46</v>
      </c>
      <c r="H115" s="33" t="s">
        <v>46</v>
      </c>
      <c r="I115" s="514"/>
      <c r="J115" s="515"/>
      <c r="K115" s="346" t="s">
        <v>17</v>
      </c>
      <c r="L115" s="346" t="s">
        <v>17</v>
      </c>
      <c r="M115" s="508"/>
      <c r="N115" s="509"/>
      <c r="O115" s="355" t="s">
        <v>47</v>
      </c>
      <c r="P115" s="499"/>
      <c r="Q115" s="35"/>
    </row>
    <row r="116" spans="1:28" s="60" customFormat="1" outlineLevel="1" x14ac:dyDescent="0.25">
      <c r="A116" s="61">
        <v>25</v>
      </c>
      <c r="B116" s="61">
        <v>32</v>
      </c>
      <c r="C116" s="81">
        <v>0</v>
      </c>
      <c r="D116" s="81">
        <v>0</v>
      </c>
      <c r="E116" s="523"/>
      <c r="F116" s="524"/>
      <c r="G116" s="64">
        <f>(IF($I$33-$I$37&gt;$X$8,X9+(Y9-X9)*($I$33-$I$37-$X$8)/($Y$8-$X$8),W9+(X9-W9)*($I$33-$I$37-$W$8)/($X$8-$W$8)))/1.163</f>
        <v>4.2329228994557964</v>
      </c>
      <c r="H116" s="64">
        <f>G116*0.5</f>
        <v>2.1164614497278982</v>
      </c>
      <c r="I116" s="514"/>
      <c r="J116" s="515"/>
      <c r="K116" s="348">
        <f t="shared" ref="K116:L122" si="12">C116*G116*$I$39*1.2/1000000*24*$P$37</f>
        <v>0</v>
      </c>
      <c r="L116" s="348">
        <f t="shared" si="12"/>
        <v>0</v>
      </c>
      <c r="M116" s="508"/>
      <c r="N116" s="509"/>
      <c r="O116" s="356">
        <f>(C116+D116)*A116*A116/1000000/4*(3.1416*24*0.0025)</f>
        <v>0</v>
      </c>
      <c r="P116" s="499"/>
      <c r="Q116" s="45"/>
    </row>
    <row r="117" spans="1:28" s="60" customFormat="1" outlineLevel="1" x14ac:dyDescent="0.25">
      <c r="A117" s="61">
        <v>40</v>
      </c>
      <c r="B117" s="61">
        <v>45</v>
      </c>
      <c r="C117" s="81">
        <v>0</v>
      </c>
      <c r="D117" s="81">
        <v>0</v>
      </c>
      <c r="E117" s="523"/>
      <c r="F117" s="524"/>
      <c r="G117" s="64">
        <f t="shared" ref="G117:G135" si="13">(IF($I$33-$I$37&gt;$X$8,X10+(Y10-X10)*($I$33-$I$37-$X$8)/($Y$8-$X$8),W10+(X10-W10)*($I$33-$I$37-$W$8)/($X$8-$W$8)))/1.163</f>
        <v>4.7951025113885963</v>
      </c>
      <c r="H117" s="64">
        <f>G117*0.5</f>
        <v>2.3975512556942982</v>
      </c>
      <c r="I117" s="514"/>
      <c r="J117" s="515"/>
      <c r="K117" s="348">
        <f t="shared" si="12"/>
        <v>0</v>
      </c>
      <c r="L117" s="348">
        <f t="shared" si="12"/>
        <v>0</v>
      </c>
      <c r="M117" s="508"/>
      <c r="N117" s="509"/>
      <c r="O117" s="356">
        <f t="shared" ref="O117:O134" si="14">(C117+D117)*A117*A117/1000000/4*(3.1416*24*0.0025)</f>
        <v>0</v>
      </c>
      <c r="P117" s="499"/>
      <c r="Q117" s="45"/>
    </row>
    <row r="118" spans="1:28" s="60" customFormat="1" outlineLevel="1" x14ac:dyDescent="0.25">
      <c r="A118" s="61">
        <v>50</v>
      </c>
      <c r="B118" s="61">
        <v>57</v>
      </c>
      <c r="C118" s="81">
        <v>0</v>
      </c>
      <c r="D118" s="81">
        <v>0</v>
      </c>
      <c r="E118" s="523"/>
      <c r="F118" s="524"/>
      <c r="G118" s="64">
        <f t="shared" si="13"/>
        <v>6.5147929671065672</v>
      </c>
      <c r="H118" s="64">
        <f>G118*0.5</f>
        <v>3.2573964835532836</v>
      </c>
      <c r="I118" s="514"/>
      <c r="J118" s="515"/>
      <c r="K118" s="348">
        <f t="shared" si="12"/>
        <v>0</v>
      </c>
      <c r="L118" s="348">
        <f t="shared" si="12"/>
        <v>0</v>
      </c>
      <c r="M118" s="508"/>
      <c r="N118" s="509"/>
      <c r="O118" s="356">
        <f t="shared" si="14"/>
        <v>0</v>
      </c>
      <c r="P118" s="499"/>
      <c r="Q118" s="45"/>
    </row>
    <row r="119" spans="1:28" s="60" customFormat="1" outlineLevel="1" x14ac:dyDescent="0.25">
      <c r="A119" s="61">
        <v>65</v>
      </c>
      <c r="B119" s="61">
        <v>76</v>
      </c>
      <c r="C119" s="81">
        <v>0</v>
      </c>
      <c r="D119" s="81">
        <v>0</v>
      </c>
      <c r="E119" s="523"/>
      <c r="F119" s="524"/>
      <c r="G119" s="64">
        <f t="shared" si="13"/>
        <v>6.4982171571467857</v>
      </c>
      <c r="H119" s="64">
        <f>G119*0.5</f>
        <v>3.2491085785733929</v>
      </c>
      <c r="I119" s="514"/>
      <c r="J119" s="515"/>
      <c r="K119" s="348">
        <f t="shared" si="12"/>
        <v>0</v>
      </c>
      <c r="L119" s="348">
        <f t="shared" si="12"/>
        <v>0</v>
      </c>
      <c r="M119" s="508"/>
      <c r="N119" s="509"/>
      <c r="O119" s="356">
        <f t="shared" si="14"/>
        <v>0</v>
      </c>
      <c r="P119" s="499"/>
      <c r="Q119" s="45"/>
    </row>
    <row r="120" spans="1:28" s="60" customFormat="1" outlineLevel="1" x14ac:dyDescent="0.25">
      <c r="A120" s="61">
        <v>80</v>
      </c>
      <c r="B120" s="61">
        <v>89</v>
      </c>
      <c r="C120" s="81">
        <v>0</v>
      </c>
      <c r="D120" s="81">
        <v>0</v>
      </c>
      <c r="E120" s="523"/>
      <c r="F120" s="524"/>
      <c r="G120" s="64">
        <f t="shared" si="13"/>
        <v>7.6391521909721707</v>
      </c>
      <c r="H120" s="64">
        <f>G120*0.6</f>
        <v>4.5834913145833021</v>
      </c>
      <c r="I120" s="514"/>
      <c r="J120" s="515"/>
      <c r="K120" s="348">
        <f t="shared" si="12"/>
        <v>0</v>
      </c>
      <c r="L120" s="348">
        <f t="shared" si="12"/>
        <v>0</v>
      </c>
      <c r="M120" s="508"/>
      <c r="N120" s="509"/>
      <c r="O120" s="356">
        <f t="shared" si="14"/>
        <v>0</v>
      </c>
      <c r="P120" s="499"/>
      <c r="Q120" s="45"/>
    </row>
    <row r="121" spans="1:28" s="60" customFormat="1" outlineLevel="1" x14ac:dyDescent="0.25">
      <c r="A121" s="61">
        <v>100</v>
      </c>
      <c r="B121" s="61">
        <v>108</v>
      </c>
      <c r="C121" s="81">
        <v>0</v>
      </c>
      <c r="D121" s="81">
        <v>0</v>
      </c>
      <c r="E121" s="523"/>
      <c r="F121" s="524"/>
      <c r="G121" s="64">
        <f t="shared" si="13"/>
        <v>9.6399324526565433</v>
      </c>
      <c r="H121" s="64">
        <f>G121*0.6</f>
        <v>5.783959471593926</v>
      </c>
      <c r="I121" s="514"/>
      <c r="J121" s="515"/>
      <c r="K121" s="348">
        <f t="shared" si="12"/>
        <v>0</v>
      </c>
      <c r="L121" s="348">
        <f t="shared" si="12"/>
        <v>0</v>
      </c>
      <c r="M121" s="508"/>
      <c r="N121" s="509"/>
      <c r="O121" s="356">
        <f t="shared" si="14"/>
        <v>0</v>
      </c>
      <c r="P121" s="499"/>
      <c r="Q121" s="45"/>
    </row>
    <row r="122" spans="1:28" s="60" customFormat="1" outlineLevel="1" x14ac:dyDescent="0.25">
      <c r="A122" s="61">
        <v>125</v>
      </c>
      <c r="B122" s="61">
        <v>133</v>
      </c>
      <c r="C122" s="81">
        <v>0</v>
      </c>
      <c r="D122" s="81">
        <v>0</v>
      </c>
      <c r="E122" s="523"/>
      <c r="F122" s="524"/>
      <c r="G122" s="64">
        <f t="shared" si="13"/>
        <v>10.483201870555744</v>
      </c>
      <c r="H122" s="64">
        <f>G122*0.6</f>
        <v>6.2899211223334461</v>
      </c>
      <c r="I122" s="514"/>
      <c r="J122" s="515"/>
      <c r="K122" s="348">
        <f t="shared" si="12"/>
        <v>0</v>
      </c>
      <c r="L122" s="348">
        <f t="shared" si="12"/>
        <v>0</v>
      </c>
      <c r="M122" s="508"/>
      <c r="N122" s="509"/>
      <c r="O122" s="356">
        <f t="shared" si="14"/>
        <v>0</v>
      </c>
      <c r="P122" s="499"/>
      <c r="Q122" s="45"/>
    </row>
    <row r="123" spans="1:28" s="60" customFormat="1" outlineLevel="1" x14ac:dyDescent="0.25">
      <c r="A123" s="61">
        <v>150</v>
      </c>
      <c r="B123" s="61">
        <v>159</v>
      </c>
      <c r="C123" s="81">
        <v>0</v>
      </c>
      <c r="D123" s="81">
        <v>0</v>
      </c>
      <c r="E123" s="523"/>
      <c r="F123" s="524"/>
      <c r="G123" s="64">
        <f t="shared" si="13"/>
        <v>11.905226710347534</v>
      </c>
      <c r="H123" s="64">
        <f>G123*0.6</f>
        <v>7.1431360262085208</v>
      </c>
      <c r="I123" s="514"/>
      <c r="J123" s="515"/>
      <c r="K123" s="348">
        <f>C123*G123*$I$39*1.15/1000000*24*$P$37</f>
        <v>0</v>
      </c>
      <c r="L123" s="348">
        <f>D123*H123*$I$39*1.15/1000000*24*$P$37</f>
        <v>0</v>
      </c>
      <c r="M123" s="508"/>
      <c r="N123" s="509"/>
      <c r="O123" s="356">
        <f t="shared" si="14"/>
        <v>0</v>
      </c>
      <c r="P123" s="499"/>
      <c r="Q123" s="45"/>
    </row>
    <row r="124" spans="1:28" s="60" customFormat="1" outlineLevel="1" x14ac:dyDescent="0.25">
      <c r="A124" s="61">
        <v>200</v>
      </c>
      <c r="B124" s="61">
        <v>219</v>
      </c>
      <c r="C124" s="81">
        <v>0</v>
      </c>
      <c r="D124" s="81">
        <v>0</v>
      </c>
      <c r="E124" s="523"/>
      <c r="F124" s="524"/>
      <c r="G124" s="64">
        <f t="shared" si="13"/>
        <v>15.609121617790091</v>
      </c>
      <c r="H124" s="64">
        <f>G124*0.7</f>
        <v>10.926385132453063</v>
      </c>
      <c r="I124" s="514"/>
      <c r="J124" s="515"/>
      <c r="K124" s="348">
        <f t="shared" ref="K124:L135" si="15">C124*G124*$I$39*1.15/1000000*24*$P$37</f>
        <v>0</v>
      </c>
      <c r="L124" s="348">
        <f t="shared" si="15"/>
        <v>0</v>
      </c>
      <c r="M124" s="508"/>
      <c r="N124" s="509"/>
      <c r="O124" s="356">
        <f t="shared" si="14"/>
        <v>0</v>
      </c>
      <c r="P124" s="499"/>
      <c r="Q124" s="45"/>
    </row>
    <row r="125" spans="1:28" s="60" customFormat="1" outlineLevel="1" x14ac:dyDescent="0.25">
      <c r="A125" s="61">
        <v>250</v>
      </c>
      <c r="B125" s="61">
        <v>273</v>
      </c>
      <c r="C125" s="81">
        <v>0</v>
      </c>
      <c r="D125" s="81">
        <v>0</v>
      </c>
      <c r="E125" s="523"/>
      <c r="F125" s="524"/>
      <c r="G125" s="64">
        <f t="shared" si="13"/>
        <v>18.453171297373665</v>
      </c>
      <c r="H125" s="64">
        <f>G125*0.7</f>
        <v>12.917219908161565</v>
      </c>
      <c r="I125" s="514"/>
      <c r="J125" s="515"/>
      <c r="K125" s="348">
        <f t="shared" si="15"/>
        <v>0</v>
      </c>
      <c r="L125" s="348">
        <f t="shared" si="15"/>
        <v>0</v>
      </c>
      <c r="M125" s="508"/>
      <c r="N125" s="509"/>
      <c r="O125" s="356">
        <f t="shared" si="14"/>
        <v>0</v>
      </c>
      <c r="P125" s="499"/>
      <c r="Q125" s="45"/>
    </row>
    <row r="126" spans="1:28" s="60" customFormat="1" outlineLevel="1" x14ac:dyDescent="0.25">
      <c r="A126" s="61">
        <v>300</v>
      </c>
      <c r="B126" s="61">
        <v>325</v>
      </c>
      <c r="C126" s="81">
        <v>0</v>
      </c>
      <c r="D126" s="81">
        <v>0</v>
      </c>
      <c r="E126" s="523"/>
      <c r="F126" s="524"/>
      <c r="G126" s="64">
        <f t="shared" si="13"/>
        <v>21.875976398849826</v>
      </c>
      <c r="H126" s="64">
        <f>G126*0.7</f>
        <v>15.313183479194876</v>
      </c>
      <c r="I126" s="514"/>
      <c r="J126" s="515"/>
      <c r="K126" s="348">
        <f t="shared" si="15"/>
        <v>0</v>
      </c>
      <c r="L126" s="348">
        <f t="shared" si="15"/>
        <v>0</v>
      </c>
      <c r="M126" s="508"/>
      <c r="N126" s="509"/>
      <c r="O126" s="356">
        <f t="shared" si="14"/>
        <v>0</v>
      </c>
      <c r="P126" s="499"/>
      <c r="Q126" s="45"/>
    </row>
    <row r="127" spans="1:28" s="60" customFormat="1" outlineLevel="1" x14ac:dyDescent="0.25">
      <c r="A127" s="61">
        <v>350</v>
      </c>
      <c r="B127" s="61">
        <v>377</v>
      </c>
      <c r="C127" s="81">
        <v>0</v>
      </c>
      <c r="D127" s="81">
        <v>0</v>
      </c>
      <c r="E127" s="523"/>
      <c r="F127" s="524"/>
      <c r="G127" s="64">
        <f t="shared" si="13"/>
        <v>25.298781500325983</v>
      </c>
      <c r="H127" s="64">
        <f t="shared" ref="H127:H135" si="16">G127*0.8</f>
        <v>20.239025200260787</v>
      </c>
      <c r="I127" s="514"/>
      <c r="J127" s="515"/>
      <c r="K127" s="348">
        <f t="shared" si="15"/>
        <v>0</v>
      </c>
      <c r="L127" s="348">
        <f t="shared" si="15"/>
        <v>0</v>
      </c>
      <c r="M127" s="508"/>
      <c r="N127" s="509"/>
      <c r="O127" s="356">
        <f t="shared" si="14"/>
        <v>0</v>
      </c>
      <c r="P127" s="499"/>
      <c r="Q127" s="45"/>
    </row>
    <row r="128" spans="1:28" s="60" customFormat="1" outlineLevel="1" x14ac:dyDescent="0.25">
      <c r="A128" s="61">
        <v>400</v>
      </c>
      <c r="B128" s="61">
        <v>426</v>
      </c>
      <c r="C128" s="81">
        <v>0</v>
      </c>
      <c r="D128" s="81">
        <v>0</v>
      </c>
      <c r="E128" s="523"/>
      <c r="F128" s="524"/>
      <c r="G128" s="64">
        <f t="shared" si="13"/>
        <v>28.721586601802137</v>
      </c>
      <c r="H128" s="64">
        <f t="shared" si="16"/>
        <v>22.977269281441711</v>
      </c>
      <c r="I128" s="514"/>
      <c r="J128" s="515"/>
      <c r="K128" s="348">
        <f t="shared" si="15"/>
        <v>0</v>
      </c>
      <c r="L128" s="348">
        <f t="shared" si="15"/>
        <v>0</v>
      </c>
      <c r="M128" s="508"/>
      <c r="N128" s="509"/>
      <c r="O128" s="356">
        <f t="shared" si="14"/>
        <v>0</v>
      </c>
      <c r="P128" s="499"/>
      <c r="Q128" s="45"/>
    </row>
    <row r="129" spans="1:28" s="60" customFormat="1" outlineLevel="1" x14ac:dyDescent="0.25">
      <c r="A129" s="61">
        <v>450</v>
      </c>
      <c r="B129" s="61">
        <v>478</v>
      </c>
      <c r="C129" s="81">
        <v>0</v>
      </c>
      <c r="D129" s="81">
        <v>0</v>
      </c>
      <c r="E129" s="523"/>
      <c r="F129" s="524"/>
      <c r="G129" s="64">
        <f t="shared" si="13"/>
        <v>30.424701247560325</v>
      </c>
      <c r="H129" s="64">
        <f t="shared" si="16"/>
        <v>24.339760998048263</v>
      </c>
      <c r="I129" s="514"/>
      <c r="J129" s="515"/>
      <c r="K129" s="348">
        <f t="shared" si="15"/>
        <v>0</v>
      </c>
      <c r="L129" s="348">
        <f t="shared" si="15"/>
        <v>0</v>
      </c>
      <c r="M129" s="508"/>
      <c r="N129" s="509"/>
      <c r="O129" s="356">
        <f t="shared" si="14"/>
        <v>0</v>
      </c>
      <c r="P129" s="499"/>
      <c r="Q129" s="45"/>
    </row>
    <row r="130" spans="1:28" s="60" customFormat="1" outlineLevel="1" x14ac:dyDescent="0.25">
      <c r="A130" s="61">
        <v>500</v>
      </c>
      <c r="B130" s="61">
        <v>529</v>
      </c>
      <c r="C130" s="81">
        <v>0</v>
      </c>
      <c r="D130" s="81">
        <v>0</v>
      </c>
      <c r="E130" s="523"/>
      <c r="F130" s="524"/>
      <c r="G130" s="64">
        <f t="shared" si="13"/>
        <v>33.268750927143905</v>
      </c>
      <c r="H130" s="64">
        <f t="shared" si="16"/>
        <v>26.615000741715125</v>
      </c>
      <c r="I130" s="514"/>
      <c r="J130" s="515"/>
      <c r="K130" s="348">
        <f t="shared" si="15"/>
        <v>0</v>
      </c>
      <c r="L130" s="348">
        <f t="shared" si="15"/>
        <v>0</v>
      </c>
      <c r="M130" s="508"/>
      <c r="N130" s="509"/>
      <c r="O130" s="356">
        <f t="shared" si="14"/>
        <v>0</v>
      </c>
      <c r="P130" s="499"/>
      <c r="Q130" s="45"/>
    </row>
    <row r="131" spans="1:28" s="60" customFormat="1" outlineLevel="1" x14ac:dyDescent="0.25">
      <c r="A131" s="61">
        <v>600</v>
      </c>
      <c r="B131" s="61">
        <v>630</v>
      </c>
      <c r="C131" s="81">
        <v>0</v>
      </c>
      <c r="D131" s="81">
        <v>0</v>
      </c>
      <c r="E131" s="523"/>
      <c r="F131" s="524"/>
      <c r="G131" s="64">
        <f t="shared" si="13"/>
        <v>42.727048433592749</v>
      </c>
      <c r="H131" s="64">
        <f t="shared" si="16"/>
        <v>34.181638746874199</v>
      </c>
      <c r="I131" s="514"/>
      <c r="J131" s="515"/>
      <c r="K131" s="348">
        <f t="shared" si="15"/>
        <v>0</v>
      </c>
      <c r="L131" s="348">
        <f t="shared" si="15"/>
        <v>0</v>
      </c>
      <c r="M131" s="508"/>
      <c r="N131" s="509"/>
      <c r="O131" s="356">
        <f t="shared" si="14"/>
        <v>0</v>
      </c>
      <c r="P131" s="499"/>
      <c r="Q131" s="45"/>
    </row>
    <row r="132" spans="1:28" s="60" customFormat="1" outlineLevel="1" x14ac:dyDescent="0.25">
      <c r="A132" s="61">
        <v>700</v>
      </c>
      <c r="B132" s="61">
        <v>720</v>
      </c>
      <c r="C132" s="81">
        <v>0</v>
      </c>
      <c r="D132" s="81">
        <v>0</v>
      </c>
      <c r="E132" s="523"/>
      <c r="F132" s="524"/>
      <c r="G132" s="64">
        <f t="shared" si="13"/>
        <v>44.959191071364167</v>
      </c>
      <c r="H132" s="64">
        <f t="shared" si="16"/>
        <v>35.967352857091335</v>
      </c>
      <c r="I132" s="514"/>
      <c r="J132" s="515"/>
      <c r="K132" s="348">
        <f t="shared" si="15"/>
        <v>0</v>
      </c>
      <c r="L132" s="348">
        <f t="shared" si="15"/>
        <v>0</v>
      </c>
      <c r="M132" s="508"/>
      <c r="N132" s="509"/>
      <c r="O132" s="356">
        <f t="shared" si="14"/>
        <v>0</v>
      </c>
      <c r="P132" s="499"/>
      <c r="Q132" s="45"/>
    </row>
    <row r="133" spans="1:28" s="60" customFormat="1" outlineLevel="1" x14ac:dyDescent="0.25">
      <c r="A133" s="61">
        <v>800</v>
      </c>
      <c r="B133" s="61">
        <v>820</v>
      </c>
      <c r="C133" s="81">
        <v>0</v>
      </c>
      <c r="D133" s="81">
        <v>0</v>
      </c>
      <c r="E133" s="523"/>
      <c r="F133" s="524"/>
      <c r="G133" s="64">
        <f t="shared" si="13"/>
        <v>51.523711468350079</v>
      </c>
      <c r="H133" s="64">
        <f t="shared" si="16"/>
        <v>41.218969174680069</v>
      </c>
      <c r="I133" s="514"/>
      <c r="J133" s="515"/>
      <c r="K133" s="348">
        <f t="shared" si="15"/>
        <v>0</v>
      </c>
      <c r="L133" s="348">
        <f t="shared" si="15"/>
        <v>0</v>
      </c>
      <c r="M133" s="508"/>
      <c r="N133" s="509"/>
      <c r="O133" s="356">
        <f t="shared" si="14"/>
        <v>0</v>
      </c>
      <c r="P133" s="499"/>
      <c r="Q133" s="45"/>
    </row>
    <row r="134" spans="1:28" s="60" customFormat="1" outlineLevel="1" x14ac:dyDescent="0.25">
      <c r="A134" s="61">
        <v>900</v>
      </c>
      <c r="B134" s="61">
        <v>920</v>
      </c>
      <c r="C134" s="81">
        <v>0</v>
      </c>
      <c r="D134" s="81">
        <v>0</v>
      </c>
      <c r="E134" s="523"/>
      <c r="F134" s="524"/>
      <c r="G134" s="64">
        <f t="shared" si="13"/>
        <v>56.070875793691847</v>
      </c>
      <c r="H134" s="64">
        <f t="shared" si="16"/>
        <v>44.856700634953484</v>
      </c>
      <c r="I134" s="514"/>
      <c r="J134" s="515"/>
      <c r="K134" s="348">
        <f t="shared" si="15"/>
        <v>0</v>
      </c>
      <c r="L134" s="348">
        <f t="shared" si="15"/>
        <v>0</v>
      </c>
      <c r="M134" s="508"/>
      <c r="N134" s="509"/>
      <c r="O134" s="356">
        <f t="shared" si="14"/>
        <v>0</v>
      </c>
      <c r="P134" s="499"/>
      <c r="Q134" s="45"/>
    </row>
    <row r="135" spans="1:28" s="60" customFormat="1" outlineLevel="1" x14ac:dyDescent="0.25">
      <c r="A135" s="61">
        <v>1000</v>
      </c>
      <c r="B135" s="61">
        <v>1020</v>
      </c>
      <c r="C135" s="81">
        <v>0</v>
      </c>
      <c r="D135" s="81">
        <v>0</v>
      </c>
      <c r="E135" s="523"/>
      <c r="F135" s="524"/>
      <c r="G135" s="64">
        <f t="shared" si="13"/>
        <v>62.056640768785172</v>
      </c>
      <c r="H135" s="64">
        <f t="shared" si="16"/>
        <v>49.645312615028139</v>
      </c>
      <c r="I135" s="514"/>
      <c r="J135" s="515"/>
      <c r="K135" s="348">
        <f t="shared" si="15"/>
        <v>0</v>
      </c>
      <c r="L135" s="348">
        <f t="shared" si="15"/>
        <v>0</v>
      </c>
      <c r="M135" s="508"/>
      <c r="N135" s="509"/>
      <c r="O135" s="356">
        <f>(C135+D135)*A135*A135/1000000/4*(3.1416*24*0.0025)</f>
        <v>0</v>
      </c>
      <c r="P135" s="499"/>
      <c r="Q135" s="45"/>
    </row>
    <row r="136" spans="1:28" s="38" customFormat="1" ht="45.75" customHeight="1" thickBot="1" x14ac:dyDescent="0.3">
      <c r="A136" s="496" t="s">
        <v>53</v>
      </c>
      <c r="B136" s="497"/>
      <c r="C136" s="36">
        <f>SUM(C116:C135)</f>
        <v>0</v>
      </c>
      <c r="D136" s="36">
        <f>SUM(D116:D135)</f>
        <v>0</v>
      </c>
      <c r="E136" s="525"/>
      <c r="F136" s="526"/>
      <c r="G136" s="23">
        <f>IF(C136=0,0,SUMPRODUCT(C116:C135,G116:G135)/C136)</f>
        <v>0</v>
      </c>
      <c r="H136" s="23">
        <f>IF(D136=0,0,SUMPRODUCT(D116:D135,H116:H135)/D136)</f>
        <v>0</v>
      </c>
      <c r="I136" s="516"/>
      <c r="J136" s="517"/>
      <c r="K136" s="350">
        <f>SUM(K116:K135)</f>
        <v>0</v>
      </c>
      <c r="L136" s="350">
        <f>SUM(L116:L135)</f>
        <v>0</v>
      </c>
      <c r="M136" s="510"/>
      <c r="N136" s="511"/>
      <c r="O136" s="357">
        <f>SUM(O116:O135)</f>
        <v>0</v>
      </c>
      <c r="P136" s="500"/>
      <c r="Q136" s="37"/>
    </row>
    <row r="137" spans="1:28" s="62" customFormat="1" ht="30.75" customHeight="1" x14ac:dyDescent="0.25">
      <c r="A137" s="502" t="s">
        <v>77</v>
      </c>
      <c r="B137" s="503"/>
      <c r="C137" s="503"/>
      <c r="D137" s="503"/>
      <c r="E137" s="503"/>
      <c r="F137" s="503"/>
      <c r="G137" s="503"/>
      <c r="H137" s="503"/>
      <c r="I137" s="503"/>
      <c r="J137" s="503"/>
      <c r="K137" s="503"/>
      <c r="L137" s="503"/>
      <c r="M137" s="503"/>
      <c r="N137" s="503"/>
      <c r="O137" s="503"/>
      <c r="P137" s="504"/>
      <c r="Q137" s="82"/>
    </row>
    <row r="138" spans="1:28" s="32" customFormat="1" ht="93" customHeight="1" x14ac:dyDescent="0.25">
      <c r="A138" s="32" t="s">
        <v>30</v>
      </c>
      <c r="B138" s="32" t="s">
        <v>31</v>
      </c>
      <c r="C138" s="32" t="s">
        <v>32</v>
      </c>
      <c r="D138" s="32" t="s">
        <v>33</v>
      </c>
      <c r="E138" s="521"/>
      <c r="F138" s="522"/>
      <c r="G138" s="32" t="s">
        <v>34</v>
      </c>
      <c r="H138" s="32" t="s">
        <v>35</v>
      </c>
      <c r="I138" s="512"/>
      <c r="J138" s="513"/>
      <c r="K138" s="352" t="s">
        <v>38</v>
      </c>
      <c r="L138" s="352" t="s">
        <v>39</v>
      </c>
      <c r="M138" s="506"/>
      <c r="N138" s="507"/>
      <c r="O138" s="353" t="s">
        <v>42</v>
      </c>
      <c r="P138" s="518"/>
      <c r="Q138" s="29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1"/>
    </row>
    <row r="139" spans="1:28" s="30" customFormat="1" ht="18.75" customHeight="1" x14ac:dyDescent="0.25">
      <c r="A139" s="33" t="s">
        <v>44</v>
      </c>
      <c r="B139" s="33" t="s">
        <v>44</v>
      </c>
      <c r="C139" s="33" t="s">
        <v>45</v>
      </c>
      <c r="D139" s="33" t="s">
        <v>45</v>
      </c>
      <c r="E139" s="523"/>
      <c r="F139" s="524"/>
      <c r="G139" s="33" t="s">
        <v>46</v>
      </c>
      <c r="H139" s="33" t="s">
        <v>46</v>
      </c>
      <c r="I139" s="514"/>
      <c r="J139" s="515"/>
      <c r="K139" s="346" t="s">
        <v>17</v>
      </c>
      <c r="L139" s="346" t="s">
        <v>17</v>
      </c>
      <c r="M139" s="508"/>
      <c r="N139" s="509"/>
      <c r="O139" s="347" t="s">
        <v>47</v>
      </c>
      <c r="P139" s="519"/>
      <c r="Q139" s="35"/>
    </row>
    <row r="140" spans="1:28" s="60" customFormat="1" outlineLevel="1" x14ac:dyDescent="0.25">
      <c r="A140" s="61">
        <v>25</v>
      </c>
      <c r="B140" s="61">
        <v>32</v>
      </c>
      <c r="C140" s="81">
        <v>0</v>
      </c>
      <c r="D140" s="81">
        <v>0</v>
      </c>
      <c r="E140" s="523"/>
      <c r="F140" s="524"/>
      <c r="G140" s="64">
        <f>((E9-C9)/(150-95)*('темп граф'!$C$6-95)+'норм втрати'!C9+('норм втрати'!F9-'норм втрати'!D9)/(150-95)*('темп граф'!$C$6-95)+'норм втрати'!D9)/1.163</f>
        <v>15.399046353474557</v>
      </c>
      <c r="H140" s="64">
        <f>G140*0.5</f>
        <v>7.6995231767372783</v>
      </c>
      <c r="I140" s="514"/>
      <c r="J140" s="515"/>
      <c r="K140" s="348">
        <f t="shared" ref="K140:L146" si="17">C140*G140*$J$39*1.2/1000000*24*$P$38</f>
        <v>0</v>
      </c>
      <c r="L140" s="348">
        <f t="shared" si="17"/>
        <v>0</v>
      </c>
      <c r="M140" s="508"/>
      <c r="N140" s="509"/>
      <c r="O140" s="349">
        <f>(C140+D140)*A140*A140/1000000/2*(3.1416*24*0.0025)</f>
        <v>0</v>
      </c>
      <c r="P140" s="519"/>
      <c r="Q140" s="45"/>
    </row>
    <row r="141" spans="1:28" s="60" customFormat="1" outlineLevel="1" x14ac:dyDescent="0.25">
      <c r="A141" s="61">
        <v>40</v>
      </c>
      <c r="B141" s="61">
        <v>45</v>
      </c>
      <c r="C141" s="81">
        <v>0</v>
      </c>
      <c r="D141" s="81">
        <v>0</v>
      </c>
      <c r="E141" s="523"/>
      <c r="F141" s="524"/>
      <c r="G141" s="64">
        <f>((E10-C10)/(150-95)*('темп граф'!$C$6-95)+'норм втрати'!C10+('норм втрати'!F10-'норм втрати'!D10)/(150-95)*('темп граф'!$C$6-95)+'норм втрати'!D10)/1.163</f>
        <v>19.69827249276948</v>
      </c>
      <c r="H141" s="64">
        <f>G141*0.5</f>
        <v>9.8491362463847398</v>
      </c>
      <c r="I141" s="514"/>
      <c r="J141" s="515"/>
      <c r="K141" s="348">
        <f t="shared" si="17"/>
        <v>0</v>
      </c>
      <c r="L141" s="348">
        <f t="shared" si="17"/>
        <v>0</v>
      </c>
      <c r="M141" s="508"/>
      <c r="N141" s="509"/>
      <c r="O141" s="349">
        <f t="shared" ref="O141:O159" si="18">(C141+D141)*A141*A141/1000000/2*(3.1416*24*0.0025)</f>
        <v>0</v>
      </c>
      <c r="P141" s="519"/>
      <c r="Q141" s="45"/>
    </row>
    <row r="142" spans="1:28" s="60" customFormat="1" outlineLevel="1" x14ac:dyDescent="0.25">
      <c r="A142" s="61">
        <v>50</v>
      </c>
      <c r="B142" s="61">
        <v>57</v>
      </c>
      <c r="C142" s="81">
        <v>0</v>
      </c>
      <c r="D142" s="81">
        <v>0</v>
      </c>
      <c r="E142" s="523"/>
      <c r="F142" s="524"/>
      <c r="G142" s="64">
        <f>((E11-C11)/(150-95)*('темп граф'!$C$6-95)+'норм втрати'!C11+('норм втрати'!F11-'норм втрати'!D11)/(150-95)*('темп граф'!$C$6-95)+'норм втрати'!D11)/1.163</f>
        <v>16.962401313218166</v>
      </c>
      <c r="H142" s="64">
        <f>G142*0.5</f>
        <v>8.481200656609083</v>
      </c>
      <c r="I142" s="514"/>
      <c r="J142" s="515"/>
      <c r="K142" s="348">
        <f t="shared" si="17"/>
        <v>0</v>
      </c>
      <c r="L142" s="348">
        <f t="shared" si="17"/>
        <v>0</v>
      </c>
      <c r="M142" s="508"/>
      <c r="N142" s="509"/>
      <c r="O142" s="349">
        <f t="shared" si="18"/>
        <v>0</v>
      </c>
      <c r="P142" s="519"/>
      <c r="Q142" s="45"/>
    </row>
    <row r="143" spans="1:28" s="60" customFormat="1" outlineLevel="1" x14ac:dyDescent="0.25">
      <c r="A143" s="61">
        <v>65</v>
      </c>
      <c r="B143" s="61">
        <v>76</v>
      </c>
      <c r="C143" s="81">
        <v>0</v>
      </c>
      <c r="D143" s="81">
        <v>0</v>
      </c>
      <c r="E143" s="523"/>
      <c r="F143" s="524"/>
      <c r="G143" s="64">
        <f>((E12-C12)/(150-95)*('темп граф'!$C$6-95)+'норм втрати'!C12+('норм втрати'!F12-'норм втрати'!D12)/(150-95)*('темп граф'!$C$6-95)+'норм втрати'!D12)/1.163</f>
        <v>27.671382787461891</v>
      </c>
      <c r="H143" s="64">
        <f>G143*0.5</f>
        <v>13.835691393730945</v>
      </c>
      <c r="I143" s="514"/>
      <c r="J143" s="515"/>
      <c r="K143" s="348">
        <f t="shared" si="17"/>
        <v>0</v>
      </c>
      <c r="L143" s="348">
        <f t="shared" si="17"/>
        <v>0</v>
      </c>
      <c r="M143" s="508"/>
      <c r="N143" s="509"/>
      <c r="O143" s="349">
        <f t="shared" si="18"/>
        <v>0</v>
      </c>
      <c r="P143" s="519"/>
      <c r="Q143" s="45"/>
    </row>
    <row r="144" spans="1:28" s="60" customFormat="1" outlineLevel="1" x14ac:dyDescent="0.25">
      <c r="A144" s="61">
        <v>80</v>
      </c>
      <c r="B144" s="61">
        <v>89</v>
      </c>
      <c r="C144" s="81">
        <v>0</v>
      </c>
      <c r="D144" s="81">
        <v>0</v>
      </c>
      <c r="E144" s="523"/>
      <c r="F144" s="524"/>
      <c r="G144" s="64">
        <f>((E13-C13)/(150-95)*('темп граф'!$C$6-95)+'норм втрати'!C13+('норм втрати'!F13-'норм втрати'!D13)/(150-95)*('темп граф'!$C$6-95)+'норм втрати'!D13)/1.163</f>
        <v>33.455796138513243</v>
      </c>
      <c r="H144" s="64">
        <f>G144*0.6</f>
        <v>20.073477683107946</v>
      </c>
      <c r="I144" s="514"/>
      <c r="J144" s="515"/>
      <c r="K144" s="348">
        <f t="shared" si="17"/>
        <v>0</v>
      </c>
      <c r="L144" s="348">
        <f t="shared" si="17"/>
        <v>0</v>
      </c>
      <c r="M144" s="508"/>
      <c r="N144" s="509"/>
      <c r="O144" s="349">
        <f t="shared" si="18"/>
        <v>0</v>
      </c>
      <c r="P144" s="519"/>
      <c r="Q144" s="45"/>
    </row>
    <row r="145" spans="1:17" s="60" customFormat="1" outlineLevel="1" x14ac:dyDescent="0.25">
      <c r="A145" s="61">
        <v>100</v>
      </c>
      <c r="B145" s="61">
        <v>108</v>
      </c>
      <c r="C145" s="81">
        <v>0</v>
      </c>
      <c r="D145" s="81">
        <v>0</v>
      </c>
      <c r="E145" s="523"/>
      <c r="F145" s="524"/>
      <c r="G145" s="64">
        <f>((E14-C14)/(150-95)*('темп граф'!$C$6-95)+'норм втрати'!C14+('норм втрати'!F14-'норм втрати'!D14)/(150-95)*('темп граф'!$C$6-95)+'норм втрати'!D14)/1.163</f>
        <v>32.439615414679899</v>
      </c>
      <c r="H145" s="64">
        <f>G145*0.6</f>
        <v>19.463769248807939</v>
      </c>
      <c r="I145" s="514"/>
      <c r="J145" s="515"/>
      <c r="K145" s="348">
        <f t="shared" si="17"/>
        <v>0</v>
      </c>
      <c r="L145" s="348">
        <f t="shared" si="17"/>
        <v>0</v>
      </c>
      <c r="M145" s="508"/>
      <c r="N145" s="509"/>
      <c r="O145" s="349">
        <f t="shared" si="18"/>
        <v>0</v>
      </c>
      <c r="P145" s="519"/>
      <c r="Q145" s="45"/>
    </row>
    <row r="146" spans="1:17" s="60" customFormat="1" outlineLevel="1" x14ac:dyDescent="0.25">
      <c r="A146" s="61">
        <v>125</v>
      </c>
      <c r="B146" s="61">
        <v>133</v>
      </c>
      <c r="C146" s="81">
        <v>0</v>
      </c>
      <c r="D146" s="81">
        <v>0</v>
      </c>
      <c r="E146" s="523"/>
      <c r="F146" s="524"/>
      <c r="G146" s="64">
        <f>((E15-C15)/(150-95)*('темп граф'!$C$6-95)+'норм втрати'!C15+('норм втрати'!F15-'норм втрати'!D15)/(150-95)*('темп граф'!$C$6-95)+'норм втрати'!D15)/1.163</f>
        <v>31.188931446885015</v>
      </c>
      <c r="H146" s="64">
        <f>G146*0.6</f>
        <v>18.713358868131007</v>
      </c>
      <c r="I146" s="514"/>
      <c r="J146" s="515"/>
      <c r="K146" s="348">
        <f t="shared" si="17"/>
        <v>0</v>
      </c>
      <c r="L146" s="348">
        <f t="shared" si="17"/>
        <v>0</v>
      </c>
      <c r="M146" s="508"/>
      <c r="N146" s="509"/>
      <c r="O146" s="349">
        <f t="shared" si="18"/>
        <v>0</v>
      </c>
      <c r="P146" s="519"/>
      <c r="Q146" s="45"/>
    </row>
    <row r="147" spans="1:17" s="60" customFormat="1" outlineLevel="1" x14ac:dyDescent="0.25">
      <c r="A147" s="61">
        <v>150</v>
      </c>
      <c r="B147" s="61">
        <v>159</v>
      </c>
      <c r="C147" s="81">
        <v>0</v>
      </c>
      <c r="D147" s="81">
        <v>0</v>
      </c>
      <c r="E147" s="523"/>
      <c r="F147" s="524"/>
      <c r="G147" s="64">
        <f>((E16-C16)/(150-95)*('темп граф'!$C$6-95)+'норм втрати'!C16+('норм втрати'!F16-'норм втрати'!D16)/(150-95)*('темп граф'!$C$6-95)+'норм втрати'!D16)/1.163</f>
        <v>37.207848041897911</v>
      </c>
      <c r="H147" s="64">
        <f>G147*0.6</f>
        <v>22.324708825138746</v>
      </c>
      <c r="I147" s="514"/>
      <c r="J147" s="515"/>
      <c r="K147" s="348">
        <f>C147*G147*$J$39*1.15/1000000*24*$P$38</f>
        <v>0</v>
      </c>
      <c r="L147" s="348">
        <f>D147*H147*$J$39*1.15/1000000*24*$P$38</f>
        <v>0</v>
      </c>
      <c r="M147" s="508"/>
      <c r="N147" s="509"/>
      <c r="O147" s="349">
        <f t="shared" si="18"/>
        <v>0</v>
      </c>
      <c r="P147" s="519"/>
      <c r="Q147" s="45"/>
    </row>
    <row r="148" spans="1:17" s="60" customFormat="1" outlineLevel="1" x14ac:dyDescent="0.25">
      <c r="A148" s="61">
        <v>200</v>
      </c>
      <c r="B148" s="61">
        <v>219</v>
      </c>
      <c r="C148" s="81">
        <v>0</v>
      </c>
      <c r="D148" s="81">
        <v>0</v>
      </c>
      <c r="E148" s="523"/>
      <c r="F148" s="524"/>
      <c r="G148" s="64">
        <f>((E17-C17)/(150-95)*('темп граф'!$C$6-95)+'норм втрати'!C17+('норм втрати'!F17-'норм втрати'!D17)/(150-95)*('темп граф'!$C$6-95)+'норм втрати'!D17)/1.163</f>
        <v>48.620339248026262</v>
      </c>
      <c r="H148" s="64">
        <f>G148*0.7</f>
        <v>34.034237473618383</v>
      </c>
      <c r="I148" s="514"/>
      <c r="J148" s="515"/>
      <c r="K148" s="348">
        <f t="shared" ref="K148:L159" si="19">C148*G148*$J$39*1.15/1000000*24*$P$38</f>
        <v>0</v>
      </c>
      <c r="L148" s="348">
        <f t="shared" si="19"/>
        <v>0</v>
      </c>
      <c r="M148" s="508"/>
      <c r="N148" s="509"/>
      <c r="O148" s="349">
        <f t="shared" si="18"/>
        <v>0</v>
      </c>
      <c r="P148" s="519"/>
      <c r="Q148" s="45"/>
    </row>
    <row r="149" spans="1:17" s="60" customFormat="1" outlineLevel="1" x14ac:dyDescent="0.25">
      <c r="A149" s="61">
        <v>250</v>
      </c>
      <c r="B149" s="61">
        <v>273</v>
      </c>
      <c r="C149" s="81">
        <v>0</v>
      </c>
      <c r="D149" s="81">
        <v>0</v>
      </c>
      <c r="E149" s="523"/>
      <c r="F149" s="524"/>
      <c r="G149" s="64">
        <f>((E18-C18)/(150-95)*('темп граф'!$C$6-95)+'норм втрати'!C18+('норм втрати'!F18-'норм втрати'!D18)/(150-95)*('темп граф'!$C$6-95)+'норм втрати'!D18)/1.163</f>
        <v>52.763229891346825</v>
      </c>
      <c r="H149" s="64">
        <f>G149*0.7</f>
        <v>36.934260923942773</v>
      </c>
      <c r="I149" s="514"/>
      <c r="J149" s="515"/>
      <c r="K149" s="348">
        <f t="shared" si="19"/>
        <v>0</v>
      </c>
      <c r="L149" s="348">
        <f t="shared" si="19"/>
        <v>0</v>
      </c>
      <c r="M149" s="508"/>
      <c r="N149" s="509"/>
      <c r="O149" s="349">
        <f t="shared" si="18"/>
        <v>0</v>
      </c>
      <c r="P149" s="519"/>
      <c r="Q149" s="45"/>
    </row>
    <row r="150" spans="1:17" s="60" customFormat="1" outlineLevel="1" x14ac:dyDescent="0.25">
      <c r="A150" s="61">
        <v>300</v>
      </c>
      <c r="B150" s="61">
        <v>325</v>
      </c>
      <c r="C150" s="81">
        <v>0</v>
      </c>
      <c r="D150" s="81">
        <v>0</v>
      </c>
      <c r="E150" s="523"/>
      <c r="F150" s="524"/>
      <c r="G150" s="64">
        <f>((E19-C19)/(150-95)*('темп граф'!$C$6-95)+'норм втрати'!C19+('норм втрати'!F19-'норм втрати'!D19)/(150-95)*('темп граф'!$C$6-95)+'норм втрати'!D19)/1.163</f>
        <v>62.456030641757209</v>
      </c>
      <c r="H150" s="64">
        <f>G150*0.7</f>
        <v>43.719221449230041</v>
      </c>
      <c r="I150" s="514"/>
      <c r="J150" s="515"/>
      <c r="K150" s="348">
        <f t="shared" si="19"/>
        <v>0</v>
      </c>
      <c r="L150" s="348">
        <f t="shared" si="19"/>
        <v>0</v>
      </c>
      <c r="M150" s="508"/>
      <c r="N150" s="509"/>
      <c r="O150" s="349">
        <f t="shared" si="18"/>
        <v>0</v>
      </c>
      <c r="P150" s="519"/>
      <c r="Q150" s="45"/>
    </row>
    <row r="151" spans="1:17" s="60" customFormat="1" outlineLevel="1" x14ac:dyDescent="0.25">
      <c r="A151" s="61">
        <v>350</v>
      </c>
      <c r="B151" s="61">
        <v>377</v>
      </c>
      <c r="C151" s="81">
        <v>0</v>
      </c>
      <c r="D151" s="81">
        <v>0</v>
      </c>
      <c r="E151" s="523"/>
      <c r="F151" s="524"/>
      <c r="G151" s="64">
        <f>((E20-C20)/(150-95)*('темп граф'!$C$6-95)+'норм втрати'!C20+('норм втрати'!F20-'норм втрати'!D20)/(150-95)*('темп граф'!$C$6-95)+'норм втрати'!D20)/1.163</f>
        <v>74.024857343859921</v>
      </c>
      <c r="H151" s="64">
        <f t="shared" ref="H151:H159" si="20">G151*0.8</f>
        <v>59.21988587508794</v>
      </c>
      <c r="I151" s="514"/>
      <c r="J151" s="515"/>
      <c r="K151" s="348">
        <f t="shared" si="19"/>
        <v>0</v>
      </c>
      <c r="L151" s="348">
        <f t="shared" si="19"/>
        <v>0</v>
      </c>
      <c r="M151" s="508"/>
      <c r="N151" s="509"/>
      <c r="O151" s="349">
        <f t="shared" si="18"/>
        <v>0</v>
      </c>
      <c r="P151" s="519"/>
      <c r="Q151" s="45"/>
    </row>
    <row r="152" spans="1:17" s="60" customFormat="1" outlineLevel="1" x14ac:dyDescent="0.25">
      <c r="A152" s="61">
        <v>400</v>
      </c>
      <c r="B152" s="61">
        <v>426</v>
      </c>
      <c r="C152" s="81">
        <v>0</v>
      </c>
      <c r="D152" s="81">
        <v>0</v>
      </c>
      <c r="E152" s="523"/>
      <c r="F152" s="524"/>
      <c r="G152" s="64">
        <f>((E21-C21)/(150-95)*('темп граф'!$C$6-95)+'норм втрати'!C21+('норм втрати'!F21-'норм втрати'!D21)/(150-95)*('темп граф'!$C$6-95)+'норм втрати'!D21)/1.163</f>
        <v>71.601657156257332</v>
      </c>
      <c r="H152" s="64">
        <f t="shared" si="20"/>
        <v>57.281325725005871</v>
      </c>
      <c r="I152" s="514"/>
      <c r="J152" s="515"/>
      <c r="K152" s="348">
        <f t="shared" si="19"/>
        <v>0</v>
      </c>
      <c r="L152" s="348">
        <f t="shared" si="19"/>
        <v>0</v>
      </c>
      <c r="M152" s="508"/>
      <c r="N152" s="509"/>
      <c r="O152" s="349">
        <f t="shared" si="18"/>
        <v>0</v>
      </c>
      <c r="P152" s="519"/>
      <c r="Q152" s="45"/>
    </row>
    <row r="153" spans="1:17" s="60" customFormat="1" outlineLevel="1" x14ac:dyDescent="0.25">
      <c r="A153" s="61">
        <v>450</v>
      </c>
      <c r="B153" s="61">
        <v>478</v>
      </c>
      <c r="C153" s="81">
        <v>0</v>
      </c>
      <c r="D153" s="81">
        <v>0</v>
      </c>
      <c r="E153" s="523"/>
      <c r="F153" s="524"/>
      <c r="G153" s="64">
        <f>((E22-C22)/(150-95)*('темп граф'!$C$6-95)+'норм втрати'!C22+('норм втрати'!F22-'норм втрати'!D22)/(150-95)*('темп граф'!$C$6-95)+'норм втрати'!D22)/1.163</f>
        <v>71.210818416321416</v>
      </c>
      <c r="H153" s="64">
        <f t="shared" si="20"/>
        <v>56.968654733057136</v>
      </c>
      <c r="I153" s="514"/>
      <c r="J153" s="515"/>
      <c r="K153" s="348">
        <f t="shared" si="19"/>
        <v>0</v>
      </c>
      <c r="L153" s="348">
        <f t="shared" si="19"/>
        <v>0</v>
      </c>
      <c r="M153" s="508"/>
      <c r="N153" s="509"/>
      <c r="O153" s="349">
        <f t="shared" si="18"/>
        <v>0</v>
      </c>
      <c r="P153" s="519"/>
      <c r="Q153" s="45"/>
    </row>
    <row r="154" spans="1:17" s="60" customFormat="1" outlineLevel="1" x14ac:dyDescent="0.25">
      <c r="A154" s="61">
        <v>500</v>
      </c>
      <c r="B154" s="61">
        <v>529</v>
      </c>
      <c r="C154" s="81">
        <v>0</v>
      </c>
      <c r="D154" s="81">
        <v>0</v>
      </c>
      <c r="E154" s="523"/>
      <c r="F154" s="524"/>
      <c r="G154" s="64">
        <f>((E23-C23)/(150-95)*('темп граф'!$C$6-95)+'норм втрати'!C23+('норм втрати'!F23-'норм втрати'!D23)/(150-95)*('темп граф'!$C$6-95)+'норм втрати'!D23)/1.163</f>
        <v>83.483154850308765</v>
      </c>
      <c r="H154" s="64">
        <f t="shared" si="20"/>
        <v>66.786523880247017</v>
      </c>
      <c r="I154" s="514"/>
      <c r="J154" s="515"/>
      <c r="K154" s="348">
        <f t="shared" si="19"/>
        <v>0</v>
      </c>
      <c r="L154" s="348">
        <f t="shared" si="19"/>
        <v>0</v>
      </c>
      <c r="M154" s="508"/>
      <c r="N154" s="509"/>
      <c r="O154" s="349">
        <f t="shared" si="18"/>
        <v>0</v>
      </c>
      <c r="P154" s="519"/>
      <c r="Q154" s="45"/>
    </row>
    <row r="155" spans="1:17" s="60" customFormat="1" outlineLevel="1" x14ac:dyDescent="0.25">
      <c r="A155" s="61">
        <v>600</v>
      </c>
      <c r="B155" s="61">
        <v>630</v>
      </c>
      <c r="C155" s="81">
        <v>0</v>
      </c>
      <c r="D155" s="81">
        <v>0</v>
      </c>
      <c r="E155" s="523"/>
      <c r="F155" s="524"/>
      <c r="G155" s="64">
        <f>((E24-C24)/(150-95)*('темп граф'!$C$6-95)+'норм втрати'!C24+('норм втрати'!F24-'норм втрати'!D24)/(150-95)*('темп граф'!$C$6-95)+'норм втрати'!D24)/1.163</f>
        <v>91.065426405065267</v>
      </c>
      <c r="H155" s="64">
        <f t="shared" si="20"/>
        <v>72.852341124052217</v>
      </c>
      <c r="I155" s="514"/>
      <c r="J155" s="515"/>
      <c r="K155" s="348">
        <f t="shared" si="19"/>
        <v>0</v>
      </c>
      <c r="L155" s="348">
        <f t="shared" si="19"/>
        <v>0</v>
      </c>
      <c r="M155" s="508"/>
      <c r="N155" s="509"/>
      <c r="O155" s="349">
        <f t="shared" si="18"/>
        <v>0</v>
      </c>
      <c r="P155" s="519"/>
      <c r="Q155" s="45"/>
    </row>
    <row r="156" spans="1:17" s="60" customFormat="1" outlineLevel="1" x14ac:dyDescent="0.25">
      <c r="A156" s="61">
        <v>700</v>
      </c>
      <c r="B156" s="61">
        <v>720</v>
      </c>
      <c r="C156" s="81">
        <v>0</v>
      </c>
      <c r="D156" s="81">
        <v>0</v>
      </c>
      <c r="E156" s="523"/>
      <c r="F156" s="524"/>
      <c r="G156" s="64">
        <f>((E25-C25)/(150-95)*('темп граф'!$C$6-95)+'норм втрати'!C25+('норм втрати'!F25-'норм втрати'!D25)/(150-95)*('темп граф'!$C$6-95)+'норм втрати'!D25)/1.163</f>
        <v>86.766200265770351</v>
      </c>
      <c r="H156" s="64">
        <f t="shared" si="20"/>
        <v>69.412960212616284</v>
      </c>
      <c r="I156" s="514"/>
      <c r="J156" s="515"/>
      <c r="K156" s="348">
        <f t="shared" si="19"/>
        <v>0</v>
      </c>
      <c r="L156" s="348">
        <f t="shared" si="19"/>
        <v>0</v>
      </c>
      <c r="M156" s="508"/>
      <c r="N156" s="509"/>
      <c r="O156" s="349">
        <f t="shared" si="18"/>
        <v>0</v>
      </c>
      <c r="P156" s="519"/>
      <c r="Q156" s="45"/>
    </row>
    <row r="157" spans="1:17" s="60" customFormat="1" outlineLevel="1" x14ac:dyDescent="0.25">
      <c r="A157" s="61">
        <v>800</v>
      </c>
      <c r="B157" s="61">
        <v>820</v>
      </c>
      <c r="C157" s="81">
        <v>0</v>
      </c>
      <c r="D157" s="81">
        <v>0</v>
      </c>
      <c r="E157" s="523"/>
      <c r="F157" s="524"/>
      <c r="G157" s="64">
        <f>((E26-C26)/(150-95)*('темп граф'!$C$6-95)+'норм втрати'!C26+('норм втрати'!F26-'норм втрати'!D26)/(150-95)*('темп граф'!$C$6-95)+'норм втрати'!D26)/1.163</f>
        <v>133.58868131009146</v>
      </c>
      <c r="H157" s="64">
        <f t="shared" si="20"/>
        <v>106.87094504807317</v>
      </c>
      <c r="I157" s="514"/>
      <c r="J157" s="515"/>
      <c r="K157" s="348">
        <f t="shared" si="19"/>
        <v>0</v>
      </c>
      <c r="L157" s="348">
        <f t="shared" si="19"/>
        <v>0</v>
      </c>
      <c r="M157" s="508"/>
      <c r="N157" s="509"/>
      <c r="O157" s="349">
        <f t="shared" si="18"/>
        <v>0</v>
      </c>
      <c r="P157" s="519"/>
      <c r="Q157" s="45"/>
    </row>
    <row r="158" spans="1:17" s="60" customFormat="1" outlineLevel="1" x14ac:dyDescent="0.25">
      <c r="A158" s="61">
        <v>900</v>
      </c>
      <c r="B158" s="61">
        <v>920</v>
      </c>
      <c r="C158" s="81">
        <v>0</v>
      </c>
      <c r="D158" s="81">
        <v>0</v>
      </c>
      <c r="E158" s="523"/>
      <c r="F158" s="524"/>
      <c r="G158" s="64">
        <f>((E27-C27)/(150-95)*('темп граф'!$C$6-95)+'норм втрати'!C27+('норм втрати'!F27-'норм втрати'!D27)/(150-95)*('темп граф'!$C$6-95)+'норм втрати'!D27)/1.163</f>
        <v>132.6506683342453</v>
      </c>
      <c r="H158" s="64">
        <f t="shared" si="20"/>
        <v>106.12053466739624</v>
      </c>
      <c r="I158" s="514"/>
      <c r="J158" s="515"/>
      <c r="K158" s="348">
        <f t="shared" si="19"/>
        <v>0</v>
      </c>
      <c r="L158" s="348">
        <f t="shared" si="19"/>
        <v>0</v>
      </c>
      <c r="M158" s="508"/>
      <c r="N158" s="509"/>
      <c r="O158" s="349">
        <f t="shared" si="18"/>
        <v>0</v>
      </c>
      <c r="P158" s="519"/>
      <c r="Q158" s="45"/>
    </row>
    <row r="159" spans="1:17" s="60" customFormat="1" outlineLevel="1" x14ac:dyDescent="0.25">
      <c r="A159" s="61">
        <v>1000</v>
      </c>
      <c r="B159" s="61">
        <v>1020</v>
      </c>
      <c r="C159" s="81">
        <v>0</v>
      </c>
      <c r="D159" s="81">
        <v>0</v>
      </c>
      <c r="E159" s="523"/>
      <c r="F159" s="524"/>
      <c r="G159" s="64">
        <f>((E28-C28)/(150-95)*('темп граф'!$C$6-95)+'норм втрати'!C28+('норм втрати'!F28-'норм втрати'!D28)/(150-95)*('темп граф'!$C$6-95)+'норм втрати'!D28)/1.163</f>
        <v>156.17916047838662</v>
      </c>
      <c r="H159" s="64">
        <f t="shared" si="20"/>
        <v>124.9433283827093</v>
      </c>
      <c r="I159" s="514"/>
      <c r="J159" s="515"/>
      <c r="K159" s="348">
        <f t="shared" si="19"/>
        <v>0</v>
      </c>
      <c r="L159" s="348">
        <f t="shared" si="19"/>
        <v>0</v>
      </c>
      <c r="M159" s="508"/>
      <c r="N159" s="509"/>
      <c r="O159" s="349">
        <f t="shared" si="18"/>
        <v>0</v>
      </c>
      <c r="P159" s="519"/>
      <c r="Q159" s="45"/>
    </row>
    <row r="160" spans="1:17" s="38" customFormat="1" ht="45.75" customHeight="1" x14ac:dyDescent="0.25">
      <c r="A160" s="496" t="s">
        <v>54</v>
      </c>
      <c r="B160" s="497"/>
      <c r="C160" s="36">
        <f>SUM(C140:C159)</f>
        <v>0</v>
      </c>
      <c r="D160" s="36">
        <f>SUM(D140:D159)</f>
        <v>0</v>
      </c>
      <c r="E160" s="525"/>
      <c r="F160" s="526"/>
      <c r="G160" s="23">
        <f>IF(C160=0,0,SUMPRODUCT(C140:C159,G140:G159)/C160)</f>
        <v>0</v>
      </c>
      <c r="H160" s="23">
        <f>IF(D160=0,0,SUMPRODUCT(D140:D159,H140:H159)/D160)</f>
        <v>0</v>
      </c>
      <c r="I160" s="516"/>
      <c r="J160" s="517"/>
      <c r="K160" s="350">
        <f>SUM(K140:K159)</f>
        <v>0</v>
      </c>
      <c r="L160" s="350">
        <f>SUM(L140:L159)</f>
        <v>0</v>
      </c>
      <c r="M160" s="510"/>
      <c r="N160" s="511"/>
      <c r="O160" s="351">
        <f>SUM(O140:O159)</f>
        <v>0</v>
      </c>
      <c r="P160" s="520"/>
      <c r="Q160" s="37"/>
    </row>
    <row r="161" spans="1:28" s="62" customFormat="1" ht="36" customHeight="1" x14ac:dyDescent="0.25">
      <c r="A161" s="502" t="s">
        <v>76</v>
      </c>
      <c r="B161" s="503"/>
      <c r="C161" s="503"/>
      <c r="D161" s="503"/>
      <c r="E161" s="503"/>
      <c r="F161" s="503"/>
      <c r="G161" s="503"/>
      <c r="H161" s="503"/>
      <c r="I161" s="503"/>
      <c r="J161" s="503"/>
      <c r="K161" s="503"/>
      <c r="L161" s="503"/>
      <c r="M161" s="503"/>
      <c r="N161" s="503"/>
      <c r="O161" s="503"/>
      <c r="P161" s="505"/>
      <c r="Q161" s="82"/>
    </row>
    <row r="162" spans="1:28" s="32" customFormat="1" ht="93" customHeight="1" x14ac:dyDescent="0.25">
      <c r="A162" s="32" t="s">
        <v>30</v>
      </c>
      <c r="B162" s="32" t="s">
        <v>31</v>
      </c>
      <c r="C162" s="32" t="s">
        <v>32</v>
      </c>
      <c r="D162" s="32" t="s">
        <v>33</v>
      </c>
      <c r="E162" s="521"/>
      <c r="F162" s="522"/>
      <c r="G162" s="32" t="s">
        <v>34</v>
      </c>
      <c r="H162" s="32" t="s">
        <v>35</v>
      </c>
      <c r="I162" s="512"/>
      <c r="J162" s="513"/>
      <c r="K162" s="352" t="s">
        <v>38</v>
      </c>
      <c r="L162" s="352" t="s">
        <v>39</v>
      </c>
      <c r="M162" s="506"/>
      <c r="N162" s="507"/>
      <c r="O162" s="353" t="s">
        <v>42</v>
      </c>
      <c r="P162" s="518"/>
      <c r="Q162" s="29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1"/>
    </row>
    <row r="163" spans="1:28" s="30" customFormat="1" ht="15.75" customHeight="1" x14ac:dyDescent="0.25">
      <c r="A163" s="33" t="s">
        <v>44</v>
      </c>
      <c r="B163" s="33" t="s">
        <v>44</v>
      </c>
      <c r="C163" s="33" t="s">
        <v>45</v>
      </c>
      <c r="D163" s="33" t="s">
        <v>45</v>
      </c>
      <c r="E163" s="523"/>
      <c r="F163" s="524"/>
      <c r="G163" s="33" t="s">
        <v>46</v>
      </c>
      <c r="H163" s="33" t="s">
        <v>46</v>
      </c>
      <c r="I163" s="514"/>
      <c r="J163" s="515"/>
      <c r="K163" s="346" t="s">
        <v>17</v>
      </c>
      <c r="L163" s="346" t="s">
        <v>17</v>
      </c>
      <c r="M163" s="508"/>
      <c r="N163" s="509"/>
      <c r="O163" s="347" t="s">
        <v>47</v>
      </c>
      <c r="P163" s="519"/>
      <c r="Q163" s="35"/>
    </row>
    <row r="164" spans="1:28" s="60" customFormat="1" outlineLevel="1" x14ac:dyDescent="0.25">
      <c r="A164" s="61">
        <v>25</v>
      </c>
      <c r="B164" s="61">
        <v>32</v>
      </c>
      <c r="C164" s="81">
        <v>0</v>
      </c>
      <c r="D164" s="81">
        <v>0</v>
      </c>
      <c r="E164" s="523"/>
      <c r="F164" s="524"/>
      <c r="G164" s="64">
        <f>((I9-G9)/(150-95)*('темп граф'!$C$6-95)+'норм втрати'!G9+('норм втрати'!J9-'норм втрати'!H9)/(150-95)*('темп граф'!$C$6-95)+'норм втрати'!H9)/1.163</f>
        <v>37.833190025795354</v>
      </c>
      <c r="H164" s="64">
        <f>G164*0.5</f>
        <v>18.916595012897677</v>
      </c>
      <c r="I164" s="514"/>
      <c r="J164" s="515"/>
      <c r="K164" s="348">
        <f>C164*G164*$J$39*1.15/1000000*24</f>
        <v>0</v>
      </c>
      <c r="L164" s="348">
        <f>D164*H164*$J$39*1.15/1000000*24</f>
        <v>0</v>
      </c>
      <c r="M164" s="508"/>
      <c r="N164" s="509"/>
      <c r="O164" s="349">
        <f>(C164+D164)*A164*A164/1000000/2*(3.1416*24*0.0025)</f>
        <v>0</v>
      </c>
      <c r="P164" s="519"/>
      <c r="Q164" s="45"/>
    </row>
    <row r="165" spans="1:28" s="60" customFormat="1" outlineLevel="1" x14ac:dyDescent="0.25">
      <c r="A165" s="61">
        <v>40</v>
      </c>
      <c r="B165" s="61">
        <v>45</v>
      </c>
      <c r="C165" s="81">
        <v>0</v>
      </c>
      <c r="D165" s="81">
        <v>0</v>
      </c>
      <c r="E165" s="523"/>
      <c r="F165" s="524"/>
      <c r="G165" s="64">
        <f>((I10-G10)/(150-95)*('темп граф'!$C$6-95)+'норм втрати'!G10+('норм втрати'!J10-'норм втрати'!H10)/(150-95)*('темп граф'!$C$6-95)+'норм втрати'!H10)/1.163</f>
        <v>42.054248417103096</v>
      </c>
      <c r="H165" s="64">
        <f>G165*0.5</f>
        <v>21.027124208551548</v>
      </c>
      <c r="I165" s="514"/>
      <c r="J165" s="515"/>
      <c r="K165" s="348">
        <f t="shared" ref="K165:K170" si="21">C165*G165*$J$39*1.15/1000000*24</f>
        <v>0</v>
      </c>
      <c r="L165" s="348">
        <f t="shared" ref="L165:L174" si="22">D165*H165*$J$39*1.15/1000000*24</f>
        <v>0</v>
      </c>
      <c r="M165" s="508"/>
      <c r="N165" s="509"/>
      <c r="O165" s="349">
        <f t="shared" ref="O165:O183" si="23">(C165+D165)*A165*A165/1000000/2*(3.1416*24*0.0025)</f>
        <v>0</v>
      </c>
      <c r="P165" s="519"/>
      <c r="Q165" s="45"/>
    </row>
    <row r="166" spans="1:28" s="60" customFormat="1" outlineLevel="1" x14ac:dyDescent="0.25">
      <c r="A166" s="61">
        <v>50</v>
      </c>
      <c r="B166" s="61">
        <v>57</v>
      </c>
      <c r="C166" s="81">
        <v>0</v>
      </c>
      <c r="D166" s="81">
        <v>0</v>
      </c>
      <c r="E166" s="523"/>
      <c r="F166" s="524"/>
      <c r="G166" s="64">
        <f>((I11-G11)/(150-95)*('темп граф'!$C$6-95)+'норм втрати'!G11+('норм втрати'!J11-'норм втрати'!H11)/(150-95)*('темп граф'!$C$6-95)+'норм втрати'!H11)/1.163</f>
        <v>46.275306808410846</v>
      </c>
      <c r="H166" s="64">
        <f>G166*0.5</f>
        <v>23.137653404205423</v>
      </c>
      <c r="I166" s="514"/>
      <c r="J166" s="515"/>
      <c r="K166" s="348">
        <f t="shared" si="21"/>
        <v>0</v>
      </c>
      <c r="L166" s="348">
        <f t="shared" si="22"/>
        <v>0</v>
      </c>
      <c r="M166" s="508"/>
      <c r="N166" s="509"/>
      <c r="O166" s="349">
        <f t="shared" si="23"/>
        <v>0</v>
      </c>
      <c r="P166" s="519"/>
      <c r="Q166" s="45"/>
    </row>
    <row r="167" spans="1:28" s="60" customFormat="1" outlineLevel="1" x14ac:dyDescent="0.25">
      <c r="A167" s="61">
        <v>65</v>
      </c>
      <c r="B167" s="61">
        <v>76</v>
      </c>
      <c r="C167" s="81">
        <v>0</v>
      </c>
      <c r="D167" s="81">
        <v>0</v>
      </c>
      <c r="E167" s="523"/>
      <c r="F167" s="524"/>
      <c r="G167" s="64">
        <f>((I12-G12)/(150-95)*('темп граф'!$C$6-95)+'норм втрати'!G12+('норм втрати'!J12-'норм втрати'!H12)/(150-95)*('темп граф'!$C$6-95)+'норм втрати'!H12)/1.163</f>
        <v>53.388571875244274</v>
      </c>
      <c r="H167" s="64">
        <f>G167*0.5</f>
        <v>26.694285937622137</v>
      </c>
      <c r="I167" s="514"/>
      <c r="J167" s="515"/>
      <c r="K167" s="348">
        <f t="shared" si="21"/>
        <v>0</v>
      </c>
      <c r="L167" s="348">
        <f t="shared" si="22"/>
        <v>0</v>
      </c>
      <c r="M167" s="508"/>
      <c r="N167" s="509"/>
      <c r="O167" s="349">
        <f t="shared" si="23"/>
        <v>0</v>
      </c>
      <c r="P167" s="519"/>
      <c r="Q167" s="45"/>
    </row>
    <row r="168" spans="1:28" s="60" customFormat="1" outlineLevel="1" x14ac:dyDescent="0.25">
      <c r="A168" s="61">
        <v>80</v>
      </c>
      <c r="B168" s="61">
        <v>89</v>
      </c>
      <c r="C168" s="81">
        <v>0</v>
      </c>
      <c r="D168" s="81">
        <v>0</v>
      </c>
      <c r="E168" s="523"/>
      <c r="F168" s="524"/>
      <c r="G168" s="64">
        <f>((I13-G13)/(150-95)*('темп граф'!$C$6-95)+'норм втрати'!G13+('норм втрати'!J13-'норм втрати'!H13)/(150-95)*('темп граф'!$C$6-95)+'норм втрати'!H13)/1.163</f>
        <v>53.623075119205808</v>
      </c>
      <c r="H168" s="64">
        <f>G168*0.6</f>
        <v>32.17384507152348</v>
      </c>
      <c r="I168" s="514"/>
      <c r="J168" s="515"/>
      <c r="K168" s="348">
        <f t="shared" si="21"/>
        <v>0</v>
      </c>
      <c r="L168" s="348">
        <f t="shared" si="22"/>
        <v>0</v>
      </c>
      <c r="M168" s="508"/>
      <c r="N168" s="509"/>
      <c r="O168" s="349">
        <f t="shared" si="23"/>
        <v>0</v>
      </c>
      <c r="P168" s="519"/>
      <c r="Q168" s="45"/>
    </row>
    <row r="169" spans="1:28" s="60" customFormat="1" outlineLevel="1" x14ac:dyDescent="0.25">
      <c r="A169" s="61">
        <v>100</v>
      </c>
      <c r="B169" s="61">
        <v>108</v>
      </c>
      <c r="C169" s="81">
        <v>0</v>
      </c>
      <c r="D169" s="81">
        <v>0</v>
      </c>
      <c r="E169" s="523"/>
      <c r="F169" s="524"/>
      <c r="G169" s="64">
        <f>((I14-G14)/(150-95)*('темп граф'!$C$6-95)+'норм втрати'!G14+('норм втрати'!J14-'норм втрати'!H14)/(150-95)*('темп граф'!$C$6-95)+'норм втрати'!H14)/1.163</f>
        <v>58.156804502462272</v>
      </c>
      <c r="H169" s="64">
        <f>G169*0.6</f>
        <v>34.894082701477359</v>
      </c>
      <c r="I169" s="514"/>
      <c r="J169" s="515"/>
      <c r="K169" s="348">
        <f t="shared" si="21"/>
        <v>0</v>
      </c>
      <c r="L169" s="348">
        <f t="shared" si="22"/>
        <v>0</v>
      </c>
      <c r="M169" s="508"/>
      <c r="N169" s="509"/>
      <c r="O169" s="349">
        <f t="shared" si="23"/>
        <v>0</v>
      </c>
      <c r="P169" s="519"/>
      <c r="Q169" s="45"/>
    </row>
    <row r="170" spans="1:28" s="60" customFormat="1" outlineLevel="1" x14ac:dyDescent="0.25">
      <c r="A170" s="61">
        <v>125</v>
      </c>
      <c r="B170" s="61">
        <v>133</v>
      </c>
      <c r="C170" s="81">
        <v>0</v>
      </c>
      <c r="D170" s="81">
        <v>0</v>
      </c>
      <c r="E170" s="523"/>
      <c r="F170" s="524"/>
      <c r="G170" s="64">
        <f>((I15-G15)/(150-95)*('темп граф'!$C$6-95)+'норм втрати'!G15+('норм втрати'!J15-'норм втрати'!H15)/(150-95)*('темп граф'!$C$6-95)+'норм втрати'!H15)/1.163</f>
        <v>65.2700695692957</v>
      </c>
      <c r="H170" s="64">
        <f>G170*0.6</f>
        <v>39.162041741577418</v>
      </c>
      <c r="I170" s="514"/>
      <c r="J170" s="515"/>
      <c r="K170" s="348">
        <f t="shared" si="21"/>
        <v>0</v>
      </c>
      <c r="L170" s="348">
        <f t="shared" si="22"/>
        <v>0</v>
      </c>
      <c r="M170" s="508"/>
      <c r="N170" s="509"/>
      <c r="O170" s="349">
        <f t="shared" si="23"/>
        <v>0</v>
      </c>
      <c r="P170" s="519"/>
      <c r="Q170" s="45"/>
    </row>
    <row r="171" spans="1:28" s="60" customFormat="1" outlineLevel="1" x14ac:dyDescent="0.25">
      <c r="A171" s="61">
        <v>150</v>
      </c>
      <c r="B171" s="61">
        <v>159</v>
      </c>
      <c r="C171" s="81">
        <v>0</v>
      </c>
      <c r="D171" s="81">
        <v>0</v>
      </c>
      <c r="E171" s="523"/>
      <c r="F171" s="524"/>
      <c r="G171" s="64">
        <f>((I16-G16)/(150-95)*('темп граф'!$C$6-95)+'норм втрати'!G16+('норм втрати'!J16-'норм втрати'!H16)/(150-95)*('темп граф'!$C$6-95)+'норм втрати'!H16)/1.163</f>
        <v>75.822715547565082</v>
      </c>
      <c r="H171" s="64">
        <f>G171*0.6</f>
        <v>45.493629328539051</v>
      </c>
      <c r="I171" s="514"/>
      <c r="J171" s="515"/>
      <c r="K171" s="348">
        <f t="shared" ref="K171:K183" si="24">C171*G171*$J$39*1.15/1000000*24</f>
        <v>0</v>
      </c>
      <c r="L171" s="348">
        <f t="shared" si="22"/>
        <v>0</v>
      </c>
      <c r="M171" s="508"/>
      <c r="N171" s="509"/>
      <c r="O171" s="349">
        <f t="shared" si="23"/>
        <v>0</v>
      </c>
      <c r="P171" s="519"/>
      <c r="Q171" s="45"/>
    </row>
    <row r="172" spans="1:28" s="60" customFormat="1" outlineLevel="1" x14ac:dyDescent="0.25">
      <c r="A172" s="61">
        <v>200</v>
      </c>
      <c r="B172" s="61">
        <v>219</v>
      </c>
      <c r="C172" s="81">
        <v>0</v>
      </c>
      <c r="D172" s="81">
        <v>0</v>
      </c>
      <c r="E172" s="523"/>
      <c r="F172" s="524"/>
      <c r="G172" s="64">
        <f>((I17-G17)/(150-95)*('темп граф'!$C$6-95)+'норм втрати'!G17+('норм втрати'!J17-'норм втрати'!H17)/(150-95)*('темп граф'!$C$6-95)+'норм втрати'!H17)/1.163</f>
        <v>88.720393965449858</v>
      </c>
      <c r="H172" s="64">
        <f>G172*0.7</f>
        <v>62.104275775814898</v>
      </c>
      <c r="I172" s="514"/>
      <c r="J172" s="515"/>
      <c r="K172" s="348">
        <f t="shared" si="24"/>
        <v>0</v>
      </c>
      <c r="L172" s="348">
        <f>D172*H172*$J$39*1.15/1000000*24</f>
        <v>0</v>
      </c>
      <c r="M172" s="508"/>
      <c r="N172" s="509"/>
      <c r="O172" s="349">
        <f t="shared" si="23"/>
        <v>0</v>
      </c>
      <c r="P172" s="519"/>
      <c r="Q172" s="45"/>
    </row>
    <row r="173" spans="1:28" s="60" customFormat="1" outlineLevel="1" x14ac:dyDescent="0.25">
      <c r="A173" s="61">
        <v>250</v>
      </c>
      <c r="B173" s="61">
        <v>273</v>
      </c>
      <c r="C173" s="81">
        <v>0</v>
      </c>
      <c r="D173" s="81">
        <v>0</v>
      </c>
      <c r="E173" s="523"/>
      <c r="F173" s="524"/>
      <c r="G173" s="64">
        <f>((I18-G18)/(150-95)*('темп граф'!$C$6-95)+'норм втрати'!G18+('норм втрати'!J18-'норм втрати'!H18)/(150-95)*('темп граф'!$C$6-95)+'норм втрати'!H18)/1.163</f>
        <v>89.892910185257563</v>
      </c>
      <c r="H173" s="64">
        <f>G173*0.7</f>
        <v>62.925037129680291</v>
      </c>
      <c r="I173" s="514"/>
      <c r="J173" s="515"/>
      <c r="K173" s="348">
        <f t="shared" si="24"/>
        <v>0</v>
      </c>
      <c r="L173" s="348">
        <f t="shared" si="22"/>
        <v>0</v>
      </c>
      <c r="M173" s="508"/>
      <c r="N173" s="509"/>
      <c r="O173" s="349">
        <f t="shared" si="23"/>
        <v>0</v>
      </c>
      <c r="P173" s="519"/>
      <c r="Q173" s="45"/>
    </row>
    <row r="174" spans="1:28" s="60" customFormat="1" outlineLevel="1" x14ac:dyDescent="0.25">
      <c r="A174" s="61">
        <v>300</v>
      </c>
      <c r="B174" s="61">
        <v>325</v>
      </c>
      <c r="C174" s="81">
        <v>0</v>
      </c>
      <c r="D174" s="81">
        <v>0</v>
      </c>
      <c r="E174" s="523"/>
      <c r="F174" s="524"/>
      <c r="G174" s="64">
        <f>((I19-G19)/(150-95)*('темп граф'!$C$6-95)+'норм втрати'!G19+('норм втрати'!J19-'норм втрати'!H19)/(150-95)*('темп граф'!$C$6-95)+'норм втрати'!H19)/1.163</f>
        <v>98.960368951770505</v>
      </c>
      <c r="H174" s="64">
        <f>G174*0.7</f>
        <v>69.272258266239348</v>
      </c>
      <c r="I174" s="514"/>
      <c r="J174" s="515"/>
      <c r="K174" s="348">
        <f t="shared" si="24"/>
        <v>0</v>
      </c>
      <c r="L174" s="348">
        <f t="shared" si="22"/>
        <v>0</v>
      </c>
      <c r="M174" s="508"/>
      <c r="N174" s="509"/>
      <c r="O174" s="349">
        <f t="shared" si="23"/>
        <v>0</v>
      </c>
      <c r="P174" s="519"/>
      <c r="Q174" s="45"/>
    </row>
    <row r="175" spans="1:28" s="60" customFormat="1" outlineLevel="1" x14ac:dyDescent="0.25">
      <c r="A175" s="61">
        <v>350</v>
      </c>
      <c r="B175" s="61">
        <v>377</v>
      </c>
      <c r="C175" s="81">
        <v>0</v>
      </c>
      <c r="D175" s="81">
        <v>0</v>
      </c>
      <c r="E175" s="523"/>
      <c r="F175" s="524"/>
      <c r="G175" s="64">
        <f>((I20-G20)/(150-95)*('темп граф'!$C$6-95)+'норм втрати'!G20+('норм втрати'!J20-'норм втрати'!H20)/(150-95)*('темп граф'!$C$6-95)+'норм втрати'!H20)/1.163</f>
        <v>112.71789259751426</v>
      </c>
      <c r="H175" s="64">
        <f t="shared" ref="H175:H183" si="25">G175*0.8</f>
        <v>90.17431407801142</v>
      </c>
      <c r="I175" s="514"/>
      <c r="J175" s="515"/>
      <c r="K175" s="348">
        <f t="shared" si="24"/>
        <v>0</v>
      </c>
      <c r="L175" s="348">
        <f t="shared" ref="L175:L183" si="26">D175*H175*$J$39*1.15/1000000*24</f>
        <v>0</v>
      </c>
      <c r="M175" s="508"/>
      <c r="N175" s="509"/>
      <c r="O175" s="349">
        <f t="shared" si="23"/>
        <v>0</v>
      </c>
      <c r="P175" s="519"/>
      <c r="Q175" s="45"/>
    </row>
    <row r="176" spans="1:28" s="60" customFormat="1" outlineLevel="1" x14ac:dyDescent="0.25">
      <c r="A176" s="61">
        <v>400</v>
      </c>
      <c r="B176" s="61">
        <v>426</v>
      </c>
      <c r="C176" s="81">
        <v>252</v>
      </c>
      <c r="D176" s="81">
        <v>0</v>
      </c>
      <c r="E176" s="523"/>
      <c r="F176" s="524"/>
      <c r="G176" s="64">
        <f>((I21-G21)/(150-95)*('темп граф'!$C$6-95)+'норм втрати'!G21+('норм втрати'!J21-'норм втрати'!H21)/(150-95)*('темп граф'!$C$6-95)+'норм втрати'!H21)/1.163</f>
        <v>124.52122254357852</v>
      </c>
      <c r="H176" s="64">
        <f t="shared" si="25"/>
        <v>99.616978034862825</v>
      </c>
      <c r="I176" s="514"/>
      <c r="J176" s="515"/>
      <c r="K176" s="348">
        <f t="shared" si="24"/>
        <v>151.562251231142</v>
      </c>
      <c r="L176" s="348">
        <f t="shared" si="26"/>
        <v>0</v>
      </c>
      <c r="M176" s="508"/>
      <c r="N176" s="509"/>
      <c r="O176" s="349">
        <f t="shared" si="23"/>
        <v>3.8000793599999998</v>
      </c>
      <c r="P176" s="519"/>
      <c r="Q176" s="45"/>
    </row>
    <row r="177" spans="1:28" s="60" customFormat="1" outlineLevel="1" x14ac:dyDescent="0.25">
      <c r="A177" s="61">
        <v>450</v>
      </c>
      <c r="B177" s="61">
        <v>478</v>
      </c>
      <c r="C177" s="81">
        <v>0</v>
      </c>
      <c r="D177" s="81">
        <v>0</v>
      </c>
      <c r="E177" s="523"/>
      <c r="F177" s="524"/>
      <c r="G177" s="64">
        <f>((I22-G22)/(150-95)*('темп граф'!$C$6-95)+'норм втрати'!G22+('норм втрати'!J22-'норм втрати'!H22)/(150-95)*('темп граф'!$C$6-95)+'норм втрати'!H22)/1.163</f>
        <v>133.58868131009146</v>
      </c>
      <c r="H177" s="64">
        <f t="shared" si="25"/>
        <v>106.87094504807317</v>
      </c>
      <c r="I177" s="514"/>
      <c r="J177" s="515"/>
      <c r="K177" s="348">
        <f t="shared" si="24"/>
        <v>0</v>
      </c>
      <c r="L177" s="348">
        <f t="shared" si="26"/>
        <v>0</v>
      </c>
      <c r="M177" s="508"/>
      <c r="N177" s="509"/>
      <c r="O177" s="349">
        <f t="shared" si="23"/>
        <v>0</v>
      </c>
      <c r="P177" s="519"/>
      <c r="Q177" s="45"/>
    </row>
    <row r="178" spans="1:28" s="60" customFormat="1" outlineLevel="1" x14ac:dyDescent="0.25">
      <c r="A178" s="61">
        <v>500</v>
      </c>
      <c r="B178" s="61">
        <v>529</v>
      </c>
      <c r="C178" s="81">
        <v>0</v>
      </c>
      <c r="D178" s="81">
        <v>0</v>
      </c>
      <c r="E178" s="523"/>
      <c r="F178" s="524"/>
      <c r="G178" s="64">
        <f>((I23-G23)/(150-95)*('темп граф'!$C$6-95)+'норм втрати'!G23+('норм втрати'!J23-'норм втрати'!H23)/(150-95)*('темп граф'!$C$6-95)+'норм втрати'!H23)/1.163</f>
        <v>136.48088798561713</v>
      </c>
      <c r="H178" s="64">
        <f t="shared" si="25"/>
        <v>109.18471038849371</v>
      </c>
      <c r="I178" s="514"/>
      <c r="J178" s="515"/>
      <c r="K178" s="348">
        <f t="shared" si="24"/>
        <v>0</v>
      </c>
      <c r="L178" s="348">
        <f t="shared" si="26"/>
        <v>0</v>
      </c>
      <c r="M178" s="508"/>
      <c r="N178" s="509"/>
      <c r="O178" s="349">
        <f t="shared" si="23"/>
        <v>0</v>
      </c>
      <c r="P178" s="519"/>
      <c r="Q178" s="45"/>
    </row>
    <row r="179" spans="1:28" s="60" customFormat="1" outlineLevel="1" x14ac:dyDescent="0.25">
      <c r="A179" s="61">
        <v>600</v>
      </c>
      <c r="B179" s="61">
        <v>630</v>
      </c>
      <c r="C179" s="81">
        <v>0</v>
      </c>
      <c r="D179" s="81">
        <v>0</v>
      </c>
      <c r="E179" s="523"/>
      <c r="F179" s="524"/>
      <c r="G179" s="64">
        <f>((I24-G24)/(150-95)*('темп граф'!$C$6-95)+'норм втрати'!G24+('норм втрати'!J24-'норм втрати'!H24)/(150-95)*('темп граф'!$C$6-95)+'норм втрати'!H24)/1.163</f>
        <v>153.99046353474557</v>
      </c>
      <c r="H179" s="64">
        <f t="shared" si="25"/>
        <v>123.19237082779647</v>
      </c>
      <c r="I179" s="514"/>
      <c r="J179" s="515"/>
      <c r="K179" s="348">
        <f t="shared" si="24"/>
        <v>0</v>
      </c>
      <c r="L179" s="348">
        <f t="shared" si="26"/>
        <v>0</v>
      </c>
      <c r="M179" s="508"/>
      <c r="N179" s="509"/>
      <c r="O179" s="349">
        <f t="shared" si="23"/>
        <v>0</v>
      </c>
      <c r="P179" s="519"/>
      <c r="Q179" s="45"/>
    </row>
    <row r="180" spans="1:28" s="60" customFormat="1" outlineLevel="1" x14ac:dyDescent="0.25">
      <c r="A180" s="61">
        <v>700</v>
      </c>
      <c r="B180" s="61">
        <v>720</v>
      </c>
      <c r="C180" s="81">
        <v>0</v>
      </c>
      <c r="D180" s="81">
        <v>0</v>
      </c>
      <c r="E180" s="523"/>
      <c r="F180" s="524"/>
      <c r="G180" s="64">
        <f>((I25-G25)/(150-95)*('темп граф'!$C$6-95)+'норм втрати'!G25+('норм втрати'!J25-'норм втрати'!H25)/(150-95)*('темп граф'!$C$6-95)+'норм втрати'!H25)/1.163</f>
        <v>178.45696865473306</v>
      </c>
      <c r="H180" s="64">
        <f t="shared" si="25"/>
        <v>142.76557492378646</v>
      </c>
      <c r="I180" s="514"/>
      <c r="J180" s="515"/>
      <c r="K180" s="348">
        <f t="shared" si="24"/>
        <v>0</v>
      </c>
      <c r="L180" s="348">
        <f t="shared" si="26"/>
        <v>0</v>
      </c>
      <c r="M180" s="508"/>
      <c r="N180" s="509"/>
      <c r="O180" s="349">
        <f t="shared" si="23"/>
        <v>0</v>
      </c>
      <c r="P180" s="519"/>
      <c r="Q180" s="45"/>
    </row>
    <row r="181" spans="1:28" s="60" customFormat="1" outlineLevel="1" x14ac:dyDescent="0.25">
      <c r="A181" s="61">
        <v>800</v>
      </c>
      <c r="B181" s="61">
        <v>820</v>
      </c>
      <c r="C181" s="81">
        <v>0</v>
      </c>
      <c r="D181" s="81">
        <v>0</v>
      </c>
      <c r="E181" s="523"/>
      <c r="F181" s="524"/>
      <c r="G181" s="64">
        <f>((I26-G26)/(150-95)*('темп граф'!$C$6-95)+'норм втрати'!G26+('норм втрати'!J26-'норм втрати'!H26)/(150-95)*('темп граф'!$C$6-95)+'норм втрати'!H26)/1.163</f>
        <v>184.86672398968184</v>
      </c>
      <c r="H181" s="64">
        <f t="shared" si="25"/>
        <v>147.89337919174548</v>
      </c>
      <c r="I181" s="514"/>
      <c r="J181" s="515"/>
      <c r="K181" s="348">
        <f t="shared" si="24"/>
        <v>0</v>
      </c>
      <c r="L181" s="348">
        <f t="shared" si="26"/>
        <v>0</v>
      </c>
      <c r="M181" s="508"/>
      <c r="N181" s="509"/>
      <c r="O181" s="349">
        <f t="shared" si="23"/>
        <v>0</v>
      </c>
      <c r="P181" s="519"/>
      <c r="Q181" s="45"/>
    </row>
    <row r="182" spans="1:28" s="60" customFormat="1" outlineLevel="1" x14ac:dyDescent="0.25">
      <c r="A182" s="61">
        <v>900</v>
      </c>
      <c r="B182" s="61">
        <v>920</v>
      </c>
      <c r="C182" s="81">
        <v>0</v>
      </c>
      <c r="D182" s="81">
        <v>0</v>
      </c>
      <c r="E182" s="523"/>
      <c r="F182" s="524"/>
      <c r="G182" s="64"/>
      <c r="H182" s="64">
        <f t="shared" si="25"/>
        <v>0</v>
      </c>
      <c r="I182" s="514"/>
      <c r="J182" s="515"/>
      <c r="K182" s="348">
        <f t="shared" si="24"/>
        <v>0</v>
      </c>
      <c r="L182" s="348">
        <f t="shared" si="26"/>
        <v>0</v>
      </c>
      <c r="M182" s="508"/>
      <c r="N182" s="509"/>
      <c r="O182" s="349">
        <f t="shared" si="23"/>
        <v>0</v>
      </c>
      <c r="P182" s="519"/>
      <c r="Q182" s="45"/>
    </row>
    <row r="183" spans="1:28" s="60" customFormat="1" outlineLevel="1" x14ac:dyDescent="0.25">
      <c r="A183" s="61">
        <v>1000</v>
      </c>
      <c r="B183" s="61">
        <v>1020</v>
      </c>
      <c r="C183" s="81">
        <v>0</v>
      </c>
      <c r="D183" s="81">
        <v>0</v>
      </c>
      <c r="E183" s="523"/>
      <c r="F183" s="524"/>
      <c r="G183" s="64"/>
      <c r="H183" s="64">
        <f t="shared" si="25"/>
        <v>0</v>
      </c>
      <c r="I183" s="514"/>
      <c r="J183" s="515"/>
      <c r="K183" s="348">
        <f t="shared" si="24"/>
        <v>0</v>
      </c>
      <c r="L183" s="348">
        <f t="shared" si="26"/>
        <v>0</v>
      </c>
      <c r="M183" s="508"/>
      <c r="N183" s="509"/>
      <c r="O183" s="349">
        <f t="shared" si="23"/>
        <v>0</v>
      </c>
      <c r="P183" s="519"/>
      <c r="Q183" s="45"/>
    </row>
    <row r="184" spans="1:28" s="38" customFormat="1" ht="57" customHeight="1" x14ac:dyDescent="0.25">
      <c r="A184" s="496" t="s">
        <v>55</v>
      </c>
      <c r="B184" s="497"/>
      <c r="C184" s="36">
        <f>SUM(C164:C183)</f>
        <v>252</v>
      </c>
      <c r="D184" s="36">
        <f>SUM(D164:D183)</f>
        <v>0</v>
      </c>
      <c r="E184" s="525"/>
      <c r="F184" s="526"/>
      <c r="G184" s="23">
        <f>IF(C184=0,0,SUMPRODUCT(C164:C183,G164:G183)/C184)</f>
        <v>124.52122254357852</v>
      </c>
      <c r="H184" s="23">
        <f>IF(D184=0,0,SUMPRODUCT(D164:D183,H164:H183)/D184)</f>
        <v>0</v>
      </c>
      <c r="I184" s="516"/>
      <c r="J184" s="517"/>
      <c r="K184" s="350">
        <f>SUM(K164:K183)</f>
        <v>151.562251231142</v>
      </c>
      <c r="L184" s="350">
        <f>SUM(L164:L183)</f>
        <v>0</v>
      </c>
      <c r="M184" s="510"/>
      <c r="N184" s="511"/>
      <c r="O184" s="351">
        <f>SUM(O164:O183)</f>
        <v>3.8000793599999998</v>
      </c>
      <c r="P184" s="520"/>
      <c r="Q184" s="37"/>
    </row>
    <row r="185" spans="1:28" s="62" customFormat="1" ht="33.75" customHeight="1" x14ac:dyDescent="0.25">
      <c r="A185" s="502" t="s">
        <v>75</v>
      </c>
      <c r="B185" s="503"/>
      <c r="C185" s="503"/>
      <c r="D185" s="503"/>
      <c r="E185" s="503"/>
      <c r="F185" s="503"/>
      <c r="G185" s="503"/>
      <c r="H185" s="503"/>
      <c r="I185" s="503"/>
      <c r="J185" s="503"/>
      <c r="K185" s="503"/>
      <c r="L185" s="503"/>
      <c r="M185" s="503"/>
      <c r="N185" s="503"/>
      <c r="O185" s="503"/>
      <c r="P185" s="505"/>
      <c r="Q185" s="82"/>
    </row>
    <row r="186" spans="1:28" s="32" customFormat="1" ht="96" customHeight="1" x14ac:dyDescent="0.25">
      <c r="A186" s="32" t="s">
        <v>30</v>
      </c>
      <c r="B186" s="32" t="s">
        <v>31</v>
      </c>
      <c r="C186" s="32" t="s">
        <v>32</v>
      </c>
      <c r="D186" s="32" t="s">
        <v>33</v>
      </c>
      <c r="E186" s="512"/>
      <c r="F186" s="513"/>
      <c r="G186" s="32" t="s">
        <v>34</v>
      </c>
      <c r="H186" s="32" t="s">
        <v>35</v>
      </c>
      <c r="I186" s="512"/>
      <c r="J186" s="513"/>
      <c r="K186" s="352" t="s">
        <v>38</v>
      </c>
      <c r="L186" s="352" t="s">
        <v>39</v>
      </c>
      <c r="M186" s="506"/>
      <c r="N186" s="507"/>
      <c r="O186" s="353" t="s">
        <v>42</v>
      </c>
      <c r="P186" s="518"/>
      <c r="Q186" s="29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1"/>
    </row>
    <row r="187" spans="1:28" s="30" customFormat="1" ht="15.75" customHeight="1" x14ac:dyDescent="0.25">
      <c r="A187" s="33" t="s">
        <v>44</v>
      </c>
      <c r="B187" s="33" t="s">
        <v>44</v>
      </c>
      <c r="C187" s="33" t="s">
        <v>45</v>
      </c>
      <c r="D187" s="33" t="s">
        <v>45</v>
      </c>
      <c r="E187" s="514"/>
      <c r="F187" s="515"/>
      <c r="G187" s="33" t="s">
        <v>46</v>
      </c>
      <c r="H187" s="33" t="s">
        <v>46</v>
      </c>
      <c r="I187" s="514"/>
      <c r="J187" s="515"/>
      <c r="K187" s="346" t="s">
        <v>17</v>
      </c>
      <c r="L187" s="346" t="s">
        <v>17</v>
      </c>
      <c r="M187" s="508"/>
      <c r="N187" s="509"/>
      <c r="O187" s="347" t="s">
        <v>47</v>
      </c>
      <c r="P187" s="519"/>
      <c r="Q187" s="35"/>
    </row>
    <row r="188" spans="1:28" s="60" customFormat="1" outlineLevel="1" x14ac:dyDescent="0.25">
      <c r="A188" s="61">
        <v>25</v>
      </c>
      <c r="B188" s="61">
        <v>32</v>
      </c>
      <c r="C188" s="81">
        <v>0</v>
      </c>
      <c r="D188" s="81">
        <v>0</v>
      </c>
      <c r="E188" s="514"/>
      <c r="F188" s="515"/>
      <c r="G188" s="64">
        <f>(IF($J$32-$J$37&gt;$L$8,L9+(M9-L9)*($J$32-$J$37-$L$8)/($M$8-$L$8),K9+(L9-K9)*($J$32-$J$37-$K$8)/($L$8-$K$8)))/1.163</f>
        <v>14.619418526448682</v>
      </c>
      <c r="H188" s="64">
        <f>G188*0.5</f>
        <v>7.3097092632243408</v>
      </c>
      <c r="I188" s="514"/>
      <c r="J188" s="515"/>
      <c r="K188" s="348">
        <f t="shared" ref="K188:L194" si="27">C188*G188*$J$39*1.2/1000000*24*$P$39</f>
        <v>0</v>
      </c>
      <c r="L188" s="348">
        <f t="shared" si="27"/>
        <v>0</v>
      </c>
      <c r="M188" s="508"/>
      <c r="N188" s="509"/>
      <c r="O188" s="349">
        <f>(C188+D188)*A188*A188/1000000/4*(3.1416*24*0.0025)</f>
        <v>0</v>
      </c>
      <c r="P188" s="519"/>
      <c r="Q188" s="45"/>
    </row>
    <row r="189" spans="1:28" s="60" customFormat="1" outlineLevel="1" x14ac:dyDescent="0.25">
      <c r="A189" s="61">
        <v>40</v>
      </c>
      <c r="B189" s="61">
        <v>45</v>
      </c>
      <c r="C189" s="81">
        <v>0</v>
      </c>
      <c r="D189" s="81">
        <v>0</v>
      </c>
      <c r="E189" s="514"/>
      <c r="F189" s="515"/>
      <c r="G189" s="64">
        <f t="shared" ref="G189:G207" si="28">(IF($J$32-$J$37&gt;$L$8,L10+(M10-L10)*($J$32-$J$37-$L$8)/($M$8-$L$8),K10+(L10-K10)*($J$32-$J$37-$K$8)/($L$8-$K$8)))/1.163</f>
        <v>17.463837303650852</v>
      </c>
      <c r="H189" s="64">
        <f>G189*0.5</f>
        <v>8.7319186518254259</v>
      </c>
      <c r="I189" s="514"/>
      <c r="J189" s="515"/>
      <c r="K189" s="348">
        <f t="shared" si="27"/>
        <v>0</v>
      </c>
      <c r="L189" s="348">
        <f t="shared" si="27"/>
        <v>0</v>
      </c>
      <c r="M189" s="508"/>
      <c r="N189" s="509"/>
      <c r="O189" s="349">
        <f t="shared" ref="O189:O207" si="29">(C189+D189)*A189*A189/1000000/4*(3.1416*24*0.0025)</f>
        <v>0</v>
      </c>
      <c r="P189" s="519"/>
      <c r="Q189" s="45"/>
    </row>
    <row r="190" spans="1:28" s="60" customFormat="1" outlineLevel="1" x14ac:dyDescent="0.25">
      <c r="A190" s="61">
        <v>50</v>
      </c>
      <c r="B190" s="61">
        <v>57</v>
      </c>
      <c r="C190" s="81">
        <v>0</v>
      </c>
      <c r="D190" s="81">
        <v>0</v>
      </c>
      <c r="E190" s="514"/>
      <c r="F190" s="515"/>
      <c r="G190" s="64">
        <f t="shared" si="28"/>
        <v>18.985890265572877</v>
      </c>
      <c r="H190" s="64">
        <f>G190*0.5</f>
        <v>9.4929451327864385</v>
      </c>
      <c r="I190" s="514"/>
      <c r="J190" s="515"/>
      <c r="K190" s="348">
        <f t="shared" si="27"/>
        <v>0</v>
      </c>
      <c r="L190" s="348">
        <f t="shared" si="27"/>
        <v>0</v>
      </c>
      <c r="M190" s="508"/>
      <c r="N190" s="509"/>
      <c r="O190" s="349">
        <f t="shared" si="29"/>
        <v>0</v>
      </c>
      <c r="P190" s="519"/>
      <c r="Q190" s="45"/>
    </row>
    <row r="191" spans="1:28" s="60" customFormat="1" outlineLevel="1" x14ac:dyDescent="0.25">
      <c r="A191" s="61">
        <v>65</v>
      </c>
      <c r="B191" s="61">
        <v>76</v>
      </c>
      <c r="C191" s="81">
        <v>0</v>
      </c>
      <c r="D191" s="81">
        <v>0</v>
      </c>
      <c r="E191" s="514"/>
      <c r="F191" s="515"/>
      <c r="G191" s="64">
        <f t="shared" si="28"/>
        <v>22.160388083383605</v>
      </c>
      <c r="H191" s="64">
        <f>G191*0.5</f>
        <v>11.080194041691803</v>
      </c>
      <c r="I191" s="514"/>
      <c r="J191" s="515"/>
      <c r="K191" s="348">
        <f t="shared" si="27"/>
        <v>0</v>
      </c>
      <c r="L191" s="348">
        <f t="shared" si="27"/>
        <v>0</v>
      </c>
      <c r="M191" s="508"/>
      <c r="N191" s="509"/>
      <c r="O191" s="349">
        <f t="shared" si="29"/>
        <v>0</v>
      </c>
      <c r="P191" s="519"/>
      <c r="Q191" s="45"/>
    </row>
    <row r="192" spans="1:28" s="60" customFormat="1" outlineLevel="1" x14ac:dyDescent="0.25">
      <c r="A192" s="61">
        <v>80</v>
      </c>
      <c r="B192" s="61">
        <v>89</v>
      </c>
      <c r="C192" s="81">
        <v>0</v>
      </c>
      <c r="D192" s="81">
        <v>0</v>
      </c>
      <c r="E192" s="514"/>
      <c r="F192" s="515"/>
      <c r="G192" s="64">
        <f t="shared" si="28"/>
        <v>24.14496163272679</v>
      </c>
      <c r="H192" s="64">
        <f>G192*0.6</f>
        <v>14.486976979636074</v>
      </c>
      <c r="I192" s="514"/>
      <c r="J192" s="515"/>
      <c r="K192" s="348">
        <f t="shared" si="27"/>
        <v>0</v>
      </c>
      <c r="L192" s="348">
        <f t="shared" si="27"/>
        <v>0</v>
      </c>
      <c r="M192" s="508"/>
      <c r="N192" s="509"/>
      <c r="O192" s="349">
        <f t="shared" si="29"/>
        <v>0</v>
      </c>
      <c r="P192" s="519"/>
      <c r="Q192" s="45"/>
    </row>
    <row r="193" spans="1:17" s="60" customFormat="1" outlineLevel="1" x14ac:dyDescent="0.25">
      <c r="A193" s="61">
        <v>100</v>
      </c>
      <c r="B193" s="61">
        <v>108</v>
      </c>
      <c r="C193" s="81">
        <v>0</v>
      </c>
      <c r="D193" s="81">
        <v>0</v>
      </c>
      <c r="E193" s="514"/>
      <c r="F193" s="515"/>
      <c r="G193" s="64">
        <f t="shared" si="28"/>
        <v>26.989380409928962</v>
      </c>
      <c r="H193" s="64">
        <f>G193*0.6</f>
        <v>16.193628245957377</v>
      </c>
      <c r="I193" s="514"/>
      <c r="J193" s="515"/>
      <c r="K193" s="348">
        <f t="shared" si="27"/>
        <v>0</v>
      </c>
      <c r="L193" s="348">
        <f t="shared" si="27"/>
        <v>0</v>
      </c>
      <c r="M193" s="508"/>
      <c r="N193" s="509"/>
      <c r="O193" s="349">
        <f t="shared" si="29"/>
        <v>0</v>
      </c>
      <c r="P193" s="519"/>
      <c r="Q193" s="45"/>
    </row>
    <row r="194" spans="1:17" s="60" customFormat="1" outlineLevel="1" x14ac:dyDescent="0.25">
      <c r="A194" s="61">
        <v>125</v>
      </c>
      <c r="B194" s="61">
        <v>133</v>
      </c>
      <c r="C194" s="81">
        <v>0</v>
      </c>
      <c r="D194" s="81">
        <v>0</v>
      </c>
      <c r="E194" s="514"/>
      <c r="F194" s="515"/>
      <c r="G194" s="64">
        <f t="shared" si="28"/>
        <v>30.56120286817751</v>
      </c>
      <c r="H194" s="64">
        <f>G194*0.6</f>
        <v>18.336721720906507</v>
      </c>
      <c r="I194" s="514"/>
      <c r="J194" s="515"/>
      <c r="K194" s="348">
        <f t="shared" si="27"/>
        <v>0</v>
      </c>
      <c r="L194" s="348">
        <f t="shared" si="27"/>
        <v>0</v>
      </c>
      <c r="M194" s="508"/>
      <c r="N194" s="509"/>
      <c r="O194" s="349">
        <f t="shared" si="29"/>
        <v>0</v>
      </c>
      <c r="P194" s="519"/>
      <c r="Q194" s="45"/>
    </row>
    <row r="195" spans="1:17" s="60" customFormat="1" outlineLevel="1" x14ac:dyDescent="0.25">
      <c r="A195" s="61">
        <v>150</v>
      </c>
      <c r="B195" s="61">
        <v>159</v>
      </c>
      <c r="C195" s="81">
        <v>0</v>
      </c>
      <c r="D195" s="81">
        <v>0</v>
      </c>
      <c r="E195" s="514"/>
      <c r="F195" s="515"/>
      <c r="G195" s="64">
        <f t="shared" si="28"/>
        <v>33.802946285817505</v>
      </c>
      <c r="H195" s="64">
        <f>G195*0.6</f>
        <v>20.281767771490504</v>
      </c>
      <c r="I195" s="514"/>
      <c r="J195" s="515"/>
      <c r="K195" s="348">
        <f>C195*G195*$J$39*1.15/1000000*24*$P$39</f>
        <v>0</v>
      </c>
      <c r="L195" s="348">
        <f>D195*H195*$J$39*1.15/1000000*24*$P$39</f>
        <v>0</v>
      </c>
      <c r="M195" s="508"/>
      <c r="N195" s="509"/>
      <c r="O195" s="349">
        <f t="shared" si="29"/>
        <v>0</v>
      </c>
      <c r="P195" s="519"/>
      <c r="Q195" s="45"/>
    </row>
    <row r="196" spans="1:17" s="60" customFormat="1" outlineLevel="1" x14ac:dyDescent="0.25">
      <c r="A196" s="61">
        <v>200</v>
      </c>
      <c r="B196" s="61">
        <v>219</v>
      </c>
      <c r="C196" s="81">
        <v>0</v>
      </c>
      <c r="D196" s="81">
        <v>0</v>
      </c>
      <c r="E196" s="514"/>
      <c r="F196" s="515"/>
      <c r="G196" s="64">
        <f t="shared" si="28"/>
        <v>42.203761070611414</v>
      </c>
      <c r="H196" s="64">
        <f>G196*0.7</f>
        <v>29.542632749427987</v>
      </c>
      <c r="I196" s="514"/>
      <c r="J196" s="515"/>
      <c r="K196" s="348">
        <f t="shared" ref="K196:L207" si="30">C196*G196*$J$39*1.15/1000000*24*$P$39</f>
        <v>0</v>
      </c>
      <c r="L196" s="348">
        <f t="shared" si="30"/>
        <v>0</v>
      </c>
      <c r="M196" s="508"/>
      <c r="N196" s="509"/>
      <c r="O196" s="349">
        <f t="shared" si="29"/>
        <v>0</v>
      </c>
      <c r="P196" s="519"/>
      <c r="Q196" s="45"/>
    </row>
    <row r="197" spans="1:17" s="60" customFormat="1" outlineLevel="1" x14ac:dyDescent="0.25">
      <c r="A197" s="61">
        <v>250</v>
      </c>
      <c r="B197" s="61">
        <v>273</v>
      </c>
      <c r="C197" s="81">
        <v>0</v>
      </c>
      <c r="D197" s="81">
        <v>0</v>
      </c>
      <c r="E197" s="514"/>
      <c r="F197" s="515"/>
      <c r="G197" s="64">
        <f t="shared" si="28"/>
        <v>48.752443852874741</v>
      </c>
      <c r="H197" s="64">
        <f>G197*0.7</f>
        <v>34.126710697012314</v>
      </c>
      <c r="I197" s="514"/>
      <c r="J197" s="515"/>
      <c r="K197" s="348">
        <f t="shared" si="30"/>
        <v>0</v>
      </c>
      <c r="L197" s="348">
        <f t="shared" si="30"/>
        <v>0</v>
      </c>
      <c r="M197" s="508"/>
      <c r="N197" s="509"/>
      <c r="O197" s="349">
        <f t="shared" si="29"/>
        <v>0</v>
      </c>
      <c r="P197" s="519"/>
      <c r="Q197" s="45"/>
    </row>
    <row r="198" spans="1:17" s="60" customFormat="1" outlineLevel="1" x14ac:dyDescent="0.25">
      <c r="A198" s="61">
        <v>300</v>
      </c>
      <c r="B198" s="61">
        <v>325</v>
      </c>
      <c r="C198" s="81">
        <v>0</v>
      </c>
      <c r="D198" s="81">
        <v>0</v>
      </c>
      <c r="E198" s="514"/>
      <c r="F198" s="515"/>
      <c r="G198" s="64">
        <f t="shared" si="28"/>
        <v>56.293413409809666</v>
      </c>
      <c r="H198" s="64">
        <f>G198*0.7</f>
        <v>39.405389386866766</v>
      </c>
      <c r="I198" s="514"/>
      <c r="J198" s="515"/>
      <c r="K198" s="348">
        <f t="shared" si="30"/>
        <v>0</v>
      </c>
      <c r="L198" s="348">
        <f t="shared" si="30"/>
        <v>0</v>
      </c>
      <c r="M198" s="508"/>
      <c r="N198" s="509"/>
      <c r="O198" s="349">
        <f t="shared" si="29"/>
        <v>0</v>
      </c>
      <c r="P198" s="519"/>
      <c r="Q198" s="45"/>
    </row>
    <row r="199" spans="1:17" s="60" customFormat="1" outlineLevel="1" x14ac:dyDescent="0.25">
      <c r="A199" s="61">
        <v>350</v>
      </c>
      <c r="B199" s="61">
        <v>377</v>
      </c>
      <c r="C199" s="81">
        <v>0</v>
      </c>
      <c r="D199" s="81">
        <v>0</v>
      </c>
      <c r="E199" s="514"/>
      <c r="F199" s="515"/>
      <c r="G199" s="64">
        <f t="shared" si="28"/>
        <v>62.842096192072994</v>
      </c>
      <c r="H199" s="64">
        <f t="shared" ref="H199:H207" si="31">G199*0.8</f>
        <v>50.273676953658395</v>
      </c>
      <c r="I199" s="514"/>
      <c r="J199" s="515"/>
      <c r="K199" s="348">
        <f t="shared" si="30"/>
        <v>0</v>
      </c>
      <c r="L199" s="348">
        <f t="shared" si="30"/>
        <v>0</v>
      </c>
      <c r="M199" s="508"/>
      <c r="N199" s="509"/>
      <c r="O199" s="349">
        <f t="shared" si="29"/>
        <v>0</v>
      </c>
      <c r="P199" s="519"/>
      <c r="Q199" s="45"/>
    </row>
    <row r="200" spans="1:17" s="60" customFormat="1" outlineLevel="1" x14ac:dyDescent="0.25">
      <c r="A200" s="61">
        <v>400</v>
      </c>
      <c r="B200" s="61">
        <v>426</v>
      </c>
      <c r="C200" s="81">
        <v>0</v>
      </c>
      <c r="D200" s="81">
        <v>0</v>
      </c>
      <c r="E200" s="514"/>
      <c r="F200" s="515"/>
      <c r="G200" s="64">
        <f t="shared" si="28"/>
        <v>69.258337427523713</v>
      </c>
      <c r="H200" s="64">
        <f t="shared" si="31"/>
        <v>55.406669942018972</v>
      </c>
      <c r="I200" s="514"/>
      <c r="J200" s="515"/>
      <c r="K200" s="348">
        <f t="shared" si="30"/>
        <v>0</v>
      </c>
      <c r="L200" s="348">
        <f t="shared" si="30"/>
        <v>0</v>
      </c>
      <c r="M200" s="508"/>
      <c r="N200" s="509"/>
      <c r="O200" s="349">
        <f t="shared" si="29"/>
        <v>0</v>
      </c>
      <c r="P200" s="519"/>
      <c r="Q200" s="45"/>
    </row>
    <row r="201" spans="1:17" s="60" customFormat="1" outlineLevel="1" x14ac:dyDescent="0.25">
      <c r="A201" s="61">
        <v>450</v>
      </c>
      <c r="B201" s="61">
        <v>478</v>
      </c>
      <c r="C201" s="81">
        <v>0</v>
      </c>
      <c r="D201" s="81">
        <v>0</v>
      </c>
      <c r="E201" s="514"/>
      <c r="F201" s="515"/>
      <c r="G201" s="64">
        <f t="shared" si="28"/>
        <v>75.674578662974426</v>
      </c>
      <c r="H201" s="64">
        <f t="shared" si="31"/>
        <v>60.539662930379542</v>
      </c>
      <c r="I201" s="514"/>
      <c r="J201" s="515"/>
      <c r="K201" s="348">
        <f t="shared" si="30"/>
        <v>0</v>
      </c>
      <c r="L201" s="348">
        <f t="shared" si="30"/>
        <v>0</v>
      </c>
      <c r="M201" s="508"/>
      <c r="N201" s="509"/>
      <c r="O201" s="349">
        <f t="shared" si="29"/>
        <v>0</v>
      </c>
      <c r="P201" s="519"/>
      <c r="Q201" s="45"/>
    </row>
    <row r="202" spans="1:17" s="60" customFormat="1" outlineLevel="1" x14ac:dyDescent="0.25">
      <c r="A202" s="61">
        <v>500</v>
      </c>
      <c r="B202" s="61">
        <v>529</v>
      </c>
      <c r="C202" s="81">
        <v>0</v>
      </c>
      <c r="D202" s="81">
        <v>0</v>
      </c>
      <c r="E202" s="514"/>
      <c r="F202" s="515"/>
      <c r="G202" s="64">
        <f t="shared" si="28"/>
        <v>82.950665126284136</v>
      </c>
      <c r="H202" s="64">
        <f t="shared" si="31"/>
        <v>66.360532101027317</v>
      </c>
      <c r="I202" s="514"/>
      <c r="J202" s="515"/>
      <c r="K202" s="348">
        <f t="shared" si="30"/>
        <v>0</v>
      </c>
      <c r="L202" s="348">
        <f t="shared" si="30"/>
        <v>0</v>
      </c>
      <c r="M202" s="508"/>
      <c r="N202" s="509"/>
      <c r="O202" s="349">
        <f t="shared" si="29"/>
        <v>0</v>
      </c>
      <c r="P202" s="519"/>
      <c r="Q202" s="45"/>
    </row>
    <row r="203" spans="1:17" s="60" customFormat="1" outlineLevel="1" x14ac:dyDescent="0.25">
      <c r="A203" s="61">
        <v>600</v>
      </c>
      <c r="B203" s="61">
        <v>630</v>
      </c>
      <c r="C203" s="81">
        <v>0</v>
      </c>
      <c r="D203" s="81">
        <v>0</v>
      </c>
      <c r="E203" s="514"/>
      <c r="F203" s="515"/>
      <c r="G203" s="64">
        <f t="shared" si="28"/>
        <v>94.59322332871804</v>
      </c>
      <c r="H203" s="64">
        <f t="shared" si="31"/>
        <v>75.67457866297444</v>
      </c>
      <c r="I203" s="514"/>
      <c r="J203" s="515"/>
      <c r="K203" s="348">
        <f t="shared" si="30"/>
        <v>0</v>
      </c>
      <c r="L203" s="348">
        <f t="shared" si="30"/>
        <v>0</v>
      </c>
      <c r="M203" s="508"/>
      <c r="N203" s="509"/>
      <c r="O203" s="349">
        <f t="shared" si="29"/>
        <v>0</v>
      </c>
      <c r="P203" s="519"/>
      <c r="Q203" s="45"/>
    </row>
    <row r="204" spans="1:17" s="60" customFormat="1" outlineLevel="1" x14ac:dyDescent="0.25">
      <c r="A204" s="61">
        <v>700</v>
      </c>
      <c r="B204" s="61">
        <v>720</v>
      </c>
      <c r="C204" s="81">
        <v>0</v>
      </c>
      <c r="D204" s="81">
        <v>0</v>
      </c>
      <c r="E204" s="514"/>
      <c r="F204" s="515"/>
      <c r="G204" s="64">
        <f t="shared" si="28"/>
        <v>107.29326425280688</v>
      </c>
      <c r="H204" s="64">
        <f t="shared" si="31"/>
        <v>85.834611402245514</v>
      </c>
      <c r="I204" s="514"/>
      <c r="J204" s="515"/>
      <c r="K204" s="348">
        <f t="shared" si="30"/>
        <v>0</v>
      </c>
      <c r="L204" s="348">
        <f t="shared" si="30"/>
        <v>0</v>
      </c>
      <c r="M204" s="508"/>
      <c r="N204" s="509"/>
      <c r="O204" s="349">
        <f t="shared" si="29"/>
        <v>0</v>
      </c>
      <c r="P204" s="519"/>
      <c r="Q204" s="45"/>
    </row>
    <row r="205" spans="1:17" s="60" customFormat="1" outlineLevel="1" x14ac:dyDescent="0.25">
      <c r="A205" s="61">
        <v>800</v>
      </c>
      <c r="B205" s="61">
        <v>820</v>
      </c>
      <c r="C205" s="81">
        <v>0</v>
      </c>
      <c r="D205" s="81">
        <v>0</v>
      </c>
      <c r="E205" s="514"/>
      <c r="F205" s="515"/>
      <c r="G205" s="64">
        <f t="shared" si="28"/>
        <v>120.25818827052092</v>
      </c>
      <c r="H205" s="64">
        <f t="shared" si="31"/>
        <v>96.206550616416735</v>
      </c>
      <c r="I205" s="514"/>
      <c r="J205" s="515"/>
      <c r="K205" s="348">
        <f t="shared" si="30"/>
        <v>0</v>
      </c>
      <c r="L205" s="348">
        <f t="shared" si="30"/>
        <v>0</v>
      </c>
      <c r="M205" s="508"/>
      <c r="N205" s="509"/>
      <c r="O205" s="349">
        <f t="shared" si="29"/>
        <v>0</v>
      </c>
      <c r="P205" s="519"/>
      <c r="Q205" s="45"/>
    </row>
    <row r="206" spans="1:17" s="60" customFormat="1" outlineLevel="1" x14ac:dyDescent="0.25">
      <c r="A206" s="61">
        <v>900</v>
      </c>
      <c r="B206" s="61">
        <v>920</v>
      </c>
      <c r="C206" s="81">
        <v>0</v>
      </c>
      <c r="D206" s="81">
        <v>0</v>
      </c>
      <c r="E206" s="514"/>
      <c r="F206" s="515"/>
      <c r="G206" s="64">
        <f t="shared" si="28"/>
        <v>132.49570860718859</v>
      </c>
      <c r="H206" s="64">
        <f t="shared" si="31"/>
        <v>105.99656688575088</v>
      </c>
      <c r="I206" s="514"/>
      <c r="J206" s="515"/>
      <c r="K206" s="348">
        <f t="shared" si="30"/>
        <v>0</v>
      </c>
      <c r="L206" s="348">
        <f t="shared" si="30"/>
        <v>0</v>
      </c>
      <c r="M206" s="508"/>
      <c r="N206" s="509"/>
      <c r="O206" s="349">
        <f t="shared" si="29"/>
        <v>0</v>
      </c>
      <c r="P206" s="519"/>
      <c r="Q206" s="45"/>
    </row>
    <row r="207" spans="1:17" s="60" customFormat="1" outlineLevel="1" x14ac:dyDescent="0.25">
      <c r="A207" s="61">
        <v>1000</v>
      </c>
      <c r="B207" s="61">
        <v>1020</v>
      </c>
      <c r="C207" s="81">
        <v>0</v>
      </c>
      <c r="D207" s="81">
        <v>0</v>
      </c>
      <c r="E207" s="514"/>
      <c r="F207" s="515"/>
      <c r="G207" s="64">
        <f t="shared" si="28"/>
        <v>145.46063262490264</v>
      </c>
      <c r="H207" s="64">
        <f t="shared" si="31"/>
        <v>116.36850609992212</v>
      </c>
      <c r="I207" s="514"/>
      <c r="J207" s="515"/>
      <c r="K207" s="348">
        <f t="shared" si="30"/>
        <v>0</v>
      </c>
      <c r="L207" s="348">
        <f t="shared" si="30"/>
        <v>0</v>
      </c>
      <c r="M207" s="508"/>
      <c r="N207" s="509"/>
      <c r="O207" s="349">
        <f t="shared" si="29"/>
        <v>0</v>
      </c>
      <c r="P207" s="519"/>
      <c r="Q207" s="45"/>
    </row>
    <row r="208" spans="1:17" s="38" customFormat="1" ht="60.75" customHeight="1" x14ac:dyDescent="0.25">
      <c r="A208" s="496" t="s">
        <v>56</v>
      </c>
      <c r="B208" s="497"/>
      <c r="C208" s="36">
        <f>SUM(C188:C207)</f>
        <v>0</v>
      </c>
      <c r="D208" s="36">
        <f>SUM(D188:D207)</f>
        <v>0</v>
      </c>
      <c r="E208" s="516"/>
      <c r="F208" s="517"/>
      <c r="G208" s="23">
        <f>IF(C208=0,0,SUMPRODUCT(C188:C207,G188:G207)/C208)</f>
        <v>0</v>
      </c>
      <c r="H208" s="23">
        <f>IF(D208=0,0,SUMPRODUCT(D188:D207,H188:H207)/D208)</f>
        <v>0</v>
      </c>
      <c r="I208" s="516"/>
      <c r="J208" s="517"/>
      <c r="K208" s="350">
        <f>SUM(K188:K207)</f>
        <v>0</v>
      </c>
      <c r="L208" s="350">
        <f>SUM(L188:L207)</f>
        <v>0</v>
      </c>
      <c r="M208" s="510"/>
      <c r="N208" s="511"/>
      <c r="O208" s="351">
        <f>SUM(O188:O207)</f>
        <v>0</v>
      </c>
      <c r="P208" s="520"/>
      <c r="Q208" s="37"/>
    </row>
    <row r="209" spans="1:28" s="62" customFormat="1" ht="30.75" customHeight="1" x14ac:dyDescent="0.25">
      <c r="A209" s="502" t="s">
        <v>74</v>
      </c>
      <c r="B209" s="503"/>
      <c r="C209" s="503"/>
      <c r="D209" s="503"/>
      <c r="E209" s="503"/>
      <c r="F209" s="503"/>
      <c r="G209" s="503"/>
      <c r="H209" s="503"/>
      <c r="I209" s="503"/>
      <c r="J209" s="503"/>
      <c r="K209" s="503"/>
      <c r="L209" s="503"/>
      <c r="M209" s="503"/>
      <c r="N209" s="503"/>
      <c r="O209" s="503"/>
      <c r="P209" s="505"/>
      <c r="Q209" s="82"/>
    </row>
    <row r="210" spans="1:28" s="32" customFormat="1" ht="93" customHeight="1" x14ac:dyDescent="0.25">
      <c r="A210" s="32" t="s">
        <v>30</v>
      </c>
      <c r="B210" s="32" t="s">
        <v>31</v>
      </c>
      <c r="C210" s="32" t="s">
        <v>32</v>
      </c>
      <c r="D210" s="32" t="s">
        <v>33</v>
      </c>
      <c r="E210" s="512"/>
      <c r="F210" s="513"/>
      <c r="G210" s="32" t="s">
        <v>34</v>
      </c>
      <c r="H210" s="32" t="s">
        <v>35</v>
      </c>
      <c r="I210" s="512"/>
      <c r="J210" s="513"/>
      <c r="K210" s="352" t="s">
        <v>38</v>
      </c>
      <c r="L210" s="352" t="s">
        <v>39</v>
      </c>
      <c r="M210" s="506"/>
      <c r="N210" s="507"/>
      <c r="O210" s="353" t="s">
        <v>42</v>
      </c>
      <c r="P210" s="518"/>
      <c r="Q210" s="29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1"/>
    </row>
    <row r="211" spans="1:28" s="30" customFormat="1" ht="15" customHeight="1" x14ac:dyDescent="0.25">
      <c r="A211" s="33" t="s">
        <v>44</v>
      </c>
      <c r="B211" s="33" t="s">
        <v>44</v>
      </c>
      <c r="C211" s="33" t="s">
        <v>45</v>
      </c>
      <c r="D211" s="33" t="s">
        <v>45</v>
      </c>
      <c r="E211" s="514"/>
      <c r="F211" s="515"/>
      <c r="G211" s="33" t="s">
        <v>46</v>
      </c>
      <c r="H211" s="33" t="s">
        <v>46</v>
      </c>
      <c r="I211" s="514"/>
      <c r="J211" s="515"/>
      <c r="K211" s="346" t="s">
        <v>17</v>
      </c>
      <c r="L211" s="346" t="s">
        <v>17</v>
      </c>
      <c r="M211" s="508"/>
      <c r="N211" s="509"/>
      <c r="O211" s="347" t="s">
        <v>47</v>
      </c>
      <c r="P211" s="519"/>
      <c r="Q211" s="35"/>
    </row>
    <row r="212" spans="1:28" s="60" customFormat="1" outlineLevel="1" x14ac:dyDescent="0.25">
      <c r="A212" s="61">
        <v>25</v>
      </c>
      <c r="B212" s="61">
        <v>32</v>
      </c>
      <c r="C212" s="81">
        <v>0</v>
      </c>
      <c r="D212" s="81">
        <v>0</v>
      </c>
      <c r="E212" s="514"/>
      <c r="F212" s="515"/>
      <c r="G212" s="64">
        <f>(IF($J$33-$J$37&gt;$L$8,L9+(M9-L9)*($J$33-$J$37-$L$8)/($M$8-$L$8),K9+(L9-K9)*($J$33-$J$37-$K$8)/($L$8-$K$8)))/1.163</f>
        <v>11.024342271753474</v>
      </c>
      <c r="H212" s="64">
        <f>G212*0.5</f>
        <v>5.5121711358767369</v>
      </c>
      <c r="I212" s="514"/>
      <c r="J212" s="515"/>
      <c r="K212" s="348">
        <f t="shared" ref="K212:L218" si="32">C212*G212*$J$39*1.2/1000000*24*$P$40</f>
        <v>0</v>
      </c>
      <c r="L212" s="348">
        <f t="shared" si="32"/>
        <v>0</v>
      </c>
      <c r="M212" s="508"/>
      <c r="N212" s="509"/>
      <c r="O212" s="349">
        <f>(C212+D212)*A212*A212/1000000/4*(3.1416*24*0.0025)</f>
        <v>0</v>
      </c>
      <c r="P212" s="519"/>
      <c r="Q212" s="45"/>
    </row>
    <row r="213" spans="1:28" s="60" customFormat="1" outlineLevel="1" x14ac:dyDescent="0.25">
      <c r="A213" s="61">
        <v>40</v>
      </c>
      <c r="B213" s="61">
        <v>45</v>
      </c>
      <c r="C213" s="81">
        <v>0</v>
      </c>
      <c r="D213" s="81">
        <v>0</v>
      </c>
      <c r="E213" s="514"/>
      <c r="F213" s="515"/>
      <c r="G213" s="64">
        <f t="shared" ref="G213:G231" si="33">(IF($J$33-$J$37&gt;$L$8,L10+(M10-L10)*($J$33-$J$37-$L$8)/($M$8-$L$8),K10+(L10-K10)*($J$33-$J$37-$K$8)/($L$8-$K$8)))/1.163</f>
        <v>13.315672394387152</v>
      </c>
      <c r="H213" s="64">
        <f>G213*0.5</f>
        <v>6.6578361971935758</v>
      </c>
      <c r="I213" s="514"/>
      <c r="J213" s="515"/>
      <c r="K213" s="348">
        <f t="shared" si="32"/>
        <v>0</v>
      </c>
      <c r="L213" s="348">
        <f t="shared" si="32"/>
        <v>0</v>
      </c>
      <c r="M213" s="508"/>
      <c r="N213" s="509"/>
      <c r="O213" s="349">
        <f t="shared" ref="O213:O231" si="34">(C213+D213)*A213*A213/1000000/4*(3.1416*24*0.0025)</f>
        <v>0</v>
      </c>
      <c r="P213" s="519"/>
      <c r="Q213" s="45"/>
    </row>
    <row r="214" spans="1:28" s="60" customFormat="1" outlineLevel="1" x14ac:dyDescent="0.25">
      <c r="A214" s="61">
        <v>50</v>
      </c>
      <c r="B214" s="61">
        <v>57</v>
      </c>
      <c r="C214" s="81">
        <v>0</v>
      </c>
      <c r="D214" s="81">
        <v>0</v>
      </c>
      <c r="E214" s="514"/>
      <c r="F214" s="515"/>
      <c r="G214" s="64">
        <f t="shared" si="33"/>
        <v>13.455003719887943</v>
      </c>
      <c r="H214" s="64">
        <f>G214*0.5</f>
        <v>6.7275018599439713</v>
      </c>
      <c r="I214" s="514"/>
      <c r="J214" s="515"/>
      <c r="K214" s="348">
        <f t="shared" si="32"/>
        <v>0</v>
      </c>
      <c r="L214" s="348">
        <f t="shared" si="32"/>
        <v>0</v>
      </c>
      <c r="M214" s="508"/>
      <c r="N214" s="509"/>
      <c r="O214" s="349">
        <f t="shared" si="34"/>
        <v>0</v>
      </c>
      <c r="P214" s="519"/>
      <c r="Q214" s="45"/>
    </row>
    <row r="215" spans="1:28" s="60" customFormat="1" outlineLevel="1" x14ac:dyDescent="0.25">
      <c r="A215" s="61">
        <v>65</v>
      </c>
      <c r="B215" s="61">
        <v>76</v>
      </c>
      <c r="C215" s="81">
        <v>0</v>
      </c>
      <c r="D215" s="81">
        <v>0</v>
      </c>
      <c r="E215" s="514"/>
      <c r="F215" s="515"/>
      <c r="G215" s="64">
        <f t="shared" si="33"/>
        <v>17.18259019226716</v>
      </c>
      <c r="H215" s="64">
        <f>G215*0.5</f>
        <v>8.5912950961335799</v>
      </c>
      <c r="I215" s="514"/>
      <c r="J215" s="515"/>
      <c r="K215" s="348">
        <f t="shared" si="32"/>
        <v>0</v>
      </c>
      <c r="L215" s="348">
        <f t="shared" si="32"/>
        <v>0</v>
      </c>
      <c r="M215" s="508"/>
      <c r="N215" s="509"/>
      <c r="O215" s="349">
        <f t="shared" si="34"/>
        <v>0</v>
      </c>
      <c r="P215" s="519"/>
      <c r="Q215" s="45"/>
    </row>
    <row r="216" spans="1:28" s="60" customFormat="1" outlineLevel="1" x14ac:dyDescent="0.25">
      <c r="A216" s="61">
        <v>80</v>
      </c>
      <c r="B216" s="61">
        <v>89</v>
      </c>
      <c r="C216" s="81">
        <v>0</v>
      </c>
      <c r="D216" s="81">
        <v>0</v>
      </c>
      <c r="E216" s="514"/>
      <c r="F216" s="515"/>
      <c r="G216" s="64">
        <f t="shared" si="33"/>
        <v>18.614075087041854</v>
      </c>
      <c r="H216" s="64">
        <f>G216*0.6</f>
        <v>11.168445052225112</v>
      </c>
      <c r="I216" s="514"/>
      <c r="J216" s="515"/>
      <c r="K216" s="348">
        <f t="shared" si="32"/>
        <v>0</v>
      </c>
      <c r="L216" s="348">
        <f t="shared" si="32"/>
        <v>0</v>
      </c>
      <c r="M216" s="508"/>
      <c r="N216" s="509"/>
      <c r="O216" s="349">
        <f t="shared" si="34"/>
        <v>0</v>
      </c>
      <c r="P216" s="519"/>
      <c r="Q216" s="45"/>
    </row>
    <row r="217" spans="1:28" s="60" customFormat="1" outlineLevel="1" x14ac:dyDescent="0.25">
      <c r="A217" s="61">
        <v>100</v>
      </c>
      <c r="B217" s="61">
        <v>108</v>
      </c>
      <c r="C217" s="81">
        <v>0</v>
      </c>
      <c r="D217" s="81">
        <v>0</v>
      </c>
      <c r="E217" s="514"/>
      <c r="F217" s="515"/>
      <c r="G217" s="64">
        <f t="shared" si="33"/>
        <v>20.905405209675532</v>
      </c>
      <c r="H217" s="64">
        <f>G217*0.6</f>
        <v>12.543243125805319</v>
      </c>
      <c r="I217" s="514"/>
      <c r="J217" s="515"/>
      <c r="K217" s="348">
        <f t="shared" si="32"/>
        <v>0</v>
      </c>
      <c r="L217" s="348">
        <f t="shared" si="32"/>
        <v>0</v>
      </c>
      <c r="M217" s="508"/>
      <c r="N217" s="509"/>
      <c r="O217" s="349">
        <f t="shared" si="34"/>
        <v>0</v>
      </c>
      <c r="P217" s="519"/>
      <c r="Q217" s="45"/>
    </row>
    <row r="218" spans="1:28" s="60" customFormat="1" outlineLevel="1" x14ac:dyDescent="0.25">
      <c r="A218" s="61">
        <v>125</v>
      </c>
      <c r="B218" s="61">
        <v>133</v>
      </c>
      <c r="C218" s="81">
        <v>0</v>
      </c>
      <c r="D218" s="81">
        <v>0</v>
      </c>
      <c r="E218" s="514"/>
      <c r="F218" s="515"/>
      <c r="G218" s="64">
        <f t="shared" si="33"/>
        <v>24.200683340639838</v>
      </c>
      <c r="H218" s="64">
        <f>G218*0.6</f>
        <v>14.520410004383901</v>
      </c>
      <c r="I218" s="514"/>
      <c r="J218" s="515"/>
      <c r="K218" s="348">
        <f t="shared" si="32"/>
        <v>0</v>
      </c>
      <c r="L218" s="348">
        <f t="shared" si="32"/>
        <v>0</v>
      </c>
      <c r="M218" s="508"/>
      <c r="N218" s="509"/>
      <c r="O218" s="349">
        <f t="shared" si="34"/>
        <v>0</v>
      </c>
      <c r="P218" s="519"/>
      <c r="Q218" s="45"/>
    </row>
    <row r="219" spans="1:28" s="60" customFormat="1" outlineLevel="1" x14ac:dyDescent="0.25">
      <c r="A219" s="61">
        <v>150</v>
      </c>
      <c r="B219" s="61">
        <v>159</v>
      </c>
      <c r="C219" s="81">
        <v>0</v>
      </c>
      <c r="D219" s="81">
        <v>0</v>
      </c>
      <c r="E219" s="514"/>
      <c r="F219" s="515"/>
      <c r="G219" s="64">
        <f t="shared" si="33"/>
        <v>26.059705121858595</v>
      </c>
      <c r="H219" s="64">
        <f>G219*0.6</f>
        <v>15.635823073115157</v>
      </c>
      <c r="I219" s="514"/>
      <c r="J219" s="515"/>
      <c r="K219" s="348">
        <f>C219*G219*$J$39*1.15/1000000*24*$P$40</f>
        <v>0</v>
      </c>
      <c r="L219" s="348">
        <f>D219*H219*$J$39*1.15/1000000*24*$P$40</f>
        <v>0</v>
      </c>
      <c r="M219" s="508"/>
      <c r="N219" s="509"/>
      <c r="O219" s="349">
        <f t="shared" si="34"/>
        <v>0</v>
      </c>
      <c r="P219" s="519"/>
      <c r="Q219" s="45"/>
    </row>
    <row r="220" spans="1:28" s="60" customFormat="1" outlineLevel="1" x14ac:dyDescent="0.25">
      <c r="A220" s="61">
        <v>200</v>
      </c>
      <c r="B220" s="61">
        <v>219</v>
      </c>
      <c r="C220" s="81">
        <v>0</v>
      </c>
      <c r="D220" s="81">
        <v>0</v>
      </c>
      <c r="E220" s="514"/>
      <c r="F220" s="515"/>
      <c r="G220" s="64">
        <f t="shared" si="33"/>
        <v>33.07779827023127</v>
      </c>
      <c r="H220" s="64">
        <f>G220*0.7</f>
        <v>23.154458789161886</v>
      </c>
      <c r="I220" s="514"/>
      <c r="J220" s="515"/>
      <c r="K220" s="348">
        <f t="shared" ref="K220:L231" si="35">C220*G220*$J$39*1.15/1000000*24*$P$40</f>
        <v>0</v>
      </c>
      <c r="L220" s="348">
        <f t="shared" si="35"/>
        <v>0</v>
      </c>
      <c r="M220" s="508"/>
      <c r="N220" s="509"/>
      <c r="O220" s="349">
        <f t="shared" si="34"/>
        <v>0</v>
      </c>
      <c r="P220" s="519"/>
      <c r="Q220" s="45"/>
    </row>
    <row r="221" spans="1:28" s="60" customFormat="1" outlineLevel="1" x14ac:dyDescent="0.25">
      <c r="A221" s="61">
        <v>250</v>
      </c>
      <c r="B221" s="61">
        <v>273</v>
      </c>
      <c r="C221" s="81">
        <v>0</v>
      </c>
      <c r="D221" s="81">
        <v>0</v>
      </c>
      <c r="E221" s="514"/>
      <c r="F221" s="515"/>
      <c r="G221" s="64">
        <f t="shared" si="33"/>
        <v>38.520303743357609</v>
      </c>
      <c r="H221" s="64">
        <f>G221*0.7</f>
        <v>26.964212620350324</v>
      </c>
      <c r="I221" s="514"/>
      <c r="J221" s="515"/>
      <c r="K221" s="348">
        <f t="shared" si="35"/>
        <v>0</v>
      </c>
      <c r="L221" s="348">
        <f t="shared" si="35"/>
        <v>0</v>
      </c>
      <c r="M221" s="508"/>
      <c r="N221" s="509"/>
      <c r="O221" s="349">
        <f t="shared" si="34"/>
        <v>0</v>
      </c>
      <c r="P221" s="519"/>
      <c r="Q221" s="45"/>
    </row>
    <row r="222" spans="1:28" s="60" customFormat="1" outlineLevel="1" x14ac:dyDescent="0.25">
      <c r="A222" s="61">
        <v>300</v>
      </c>
      <c r="B222" s="61">
        <v>325</v>
      </c>
      <c r="C222" s="81">
        <v>0</v>
      </c>
      <c r="D222" s="81">
        <v>0</v>
      </c>
      <c r="E222" s="514"/>
      <c r="F222" s="515"/>
      <c r="G222" s="64">
        <f t="shared" si="33"/>
        <v>44.678551663871303</v>
      </c>
      <c r="H222" s="64">
        <f>G222*0.7</f>
        <v>31.274986164709912</v>
      </c>
      <c r="I222" s="514"/>
      <c r="J222" s="515"/>
      <c r="K222" s="348">
        <f t="shared" si="35"/>
        <v>0</v>
      </c>
      <c r="L222" s="348">
        <f t="shared" si="35"/>
        <v>0</v>
      </c>
      <c r="M222" s="508"/>
      <c r="N222" s="509"/>
      <c r="O222" s="349">
        <f t="shared" si="34"/>
        <v>0</v>
      </c>
      <c r="P222" s="519"/>
      <c r="Q222" s="45"/>
    </row>
    <row r="223" spans="1:28" s="60" customFormat="1" outlineLevel="1" x14ac:dyDescent="0.25">
      <c r="A223" s="61">
        <v>350</v>
      </c>
      <c r="B223" s="61">
        <v>377</v>
      </c>
      <c r="C223" s="81">
        <v>0</v>
      </c>
      <c r="D223" s="81">
        <v>0</v>
      </c>
      <c r="E223" s="514"/>
      <c r="F223" s="515"/>
      <c r="G223" s="64">
        <f t="shared" si="33"/>
        <v>50.121057136997642</v>
      </c>
      <c r="H223" s="64">
        <f t="shared" ref="H223:H231" si="36">G223*0.8</f>
        <v>40.096845709598114</v>
      </c>
      <c r="I223" s="514"/>
      <c r="J223" s="515"/>
      <c r="K223" s="348">
        <f t="shared" si="35"/>
        <v>0</v>
      </c>
      <c r="L223" s="348">
        <f t="shared" si="35"/>
        <v>0</v>
      </c>
      <c r="M223" s="508"/>
      <c r="N223" s="509"/>
      <c r="O223" s="349">
        <f t="shared" si="34"/>
        <v>0</v>
      </c>
      <c r="P223" s="519"/>
      <c r="Q223" s="45"/>
    </row>
    <row r="224" spans="1:28" s="60" customFormat="1" outlineLevel="1" x14ac:dyDescent="0.25">
      <c r="A224" s="61">
        <v>400</v>
      </c>
      <c r="B224" s="61">
        <v>426</v>
      </c>
      <c r="C224" s="81">
        <v>0</v>
      </c>
      <c r="D224" s="81">
        <v>0</v>
      </c>
      <c r="E224" s="514"/>
      <c r="F224" s="515"/>
      <c r="G224" s="64">
        <f t="shared" si="33"/>
        <v>55.707665390595622</v>
      </c>
      <c r="H224" s="64">
        <f t="shared" si="36"/>
        <v>44.566132312476498</v>
      </c>
      <c r="I224" s="514"/>
      <c r="J224" s="515"/>
      <c r="K224" s="348">
        <f t="shared" si="35"/>
        <v>0</v>
      </c>
      <c r="L224" s="348">
        <f t="shared" si="35"/>
        <v>0</v>
      </c>
      <c r="M224" s="508"/>
      <c r="N224" s="509"/>
      <c r="O224" s="349">
        <f t="shared" si="34"/>
        <v>0</v>
      </c>
      <c r="P224" s="519"/>
      <c r="Q224" s="45"/>
    </row>
    <row r="225" spans="1:28" s="60" customFormat="1" outlineLevel="1" x14ac:dyDescent="0.25">
      <c r="A225" s="61">
        <v>450</v>
      </c>
      <c r="B225" s="61">
        <v>478</v>
      </c>
      <c r="C225" s="81">
        <v>0</v>
      </c>
      <c r="D225" s="81">
        <v>0</v>
      </c>
      <c r="E225" s="514"/>
      <c r="F225" s="515"/>
      <c r="G225" s="64">
        <f t="shared" si="33"/>
        <v>61.294273644193595</v>
      </c>
      <c r="H225" s="64">
        <f t="shared" si="36"/>
        <v>49.035418915354882</v>
      </c>
      <c r="I225" s="514"/>
      <c r="J225" s="515"/>
      <c r="K225" s="348">
        <f t="shared" si="35"/>
        <v>0</v>
      </c>
      <c r="L225" s="348">
        <f t="shared" si="35"/>
        <v>0</v>
      </c>
      <c r="M225" s="508"/>
      <c r="N225" s="509"/>
      <c r="O225" s="349">
        <f t="shared" si="34"/>
        <v>0</v>
      </c>
      <c r="P225" s="519"/>
      <c r="Q225" s="45"/>
    </row>
    <row r="226" spans="1:28" s="60" customFormat="1" outlineLevel="1" x14ac:dyDescent="0.25">
      <c r="A226" s="61">
        <v>500</v>
      </c>
      <c r="B226" s="61">
        <v>529</v>
      </c>
      <c r="C226" s="81">
        <v>0</v>
      </c>
      <c r="D226" s="81">
        <v>0</v>
      </c>
      <c r="E226" s="514"/>
      <c r="F226" s="515"/>
      <c r="G226" s="64">
        <f t="shared" si="33"/>
        <v>67.740727125650565</v>
      </c>
      <c r="H226" s="64">
        <f t="shared" si="36"/>
        <v>54.192581700520456</v>
      </c>
      <c r="I226" s="514"/>
      <c r="J226" s="515"/>
      <c r="K226" s="348">
        <f t="shared" si="35"/>
        <v>0</v>
      </c>
      <c r="L226" s="348">
        <f t="shared" si="35"/>
        <v>0</v>
      </c>
      <c r="M226" s="508"/>
      <c r="N226" s="509"/>
      <c r="O226" s="349">
        <f t="shared" si="34"/>
        <v>0</v>
      </c>
      <c r="P226" s="519"/>
      <c r="Q226" s="45"/>
    </row>
    <row r="227" spans="1:28" s="60" customFormat="1" outlineLevel="1" x14ac:dyDescent="0.25">
      <c r="A227" s="61">
        <v>600</v>
      </c>
      <c r="B227" s="61">
        <v>630</v>
      </c>
      <c r="C227" s="81">
        <v>0</v>
      </c>
      <c r="D227" s="81">
        <v>0</v>
      </c>
      <c r="E227" s="514"/>
      <c r="F227" s="515"/>
      <c r="G227" s="64">
        <f t="shared" si="33"/>
        <v>76.617842055241994</v>
      </c>
      <c r="H227" s="64">
        <f t="shared" si="36"/>
        <v>61.294273644193595</v>
      </c>
      <c r="I227" s="514"/>
      <c r="J227" s="515"/>
      <c r="K227" s="348">
        <f t="shared" si="35"/>
        <v>0</v>
      </c>
      <c r="L227" s="348">
        <f t="shared" si="35"/>
        <v>0</v>
      </c>
      <c r="M227" s="508"/>
      <c r="N227" s="509"/>
      <c r="O227" s="349">
        <f t="shared" si="34"/>
        <v>0</v>
      </c>
      <c r="P227" s="519"/>
      <c r="Q227" s="45"/>
    </row>
    <row r="228" spans="1:28" s="60" customFormat="1" outlineLevel="1" x14ac:dyDescent="0.25">
      <c r="A228" s="61">
        <v>700</v>
      </c>
      <c r="B228" s="61">
        <v>720</v>
      </c>
      <c r="C228" s="81">
        <v>0</v>
      </c>
      <c r="D228" s="81">
        <v>0</v>
      </c>
      <c r="E228" s="514"/>
      <c r="F228" s="515"/>
      <c r="G228" s="64">
        <f t="shared" si="33"/>
        <v>87.935161342909609</v>
      </c>
      <c r="H228" s="64">
        <f t="shared" si="36"/>
        <v>70.348129074327687</v>
      </c>
      <c r="I228" s="514"/>
      <c r="J228" s="515"/>
      <c r="K228" s="348">
        <f t="shared" si="35"/>
        <v>0</v>
      </c>
      <c r="L228" s="348">
        <f t="shared" si="35"/>
        <v>0</v>
      </c>
      <c r="M228" s="508"/>
      <c r="N228" s="509"/>
      <c r="O228" s="349">
        <f t="shared" si="34"/>
        <v>0</v>
      </c>
      <c r="P228" s="519"/>
      <c r="Q228" s="45"/>
    </row>
    <row r="229" spans="1:28" s="60" customFormat="1" outlineLevel="1" x14ac:dyDescent="0.25">
      <c r="A229" s="61">
        <v>800</v>
      </c>
      <c r="B229" s="61">
        <v>820</v>
      </c>
      <c r="C229" s="81">
        <v>0</v>
      </c>
      <c r="D229" s="81">
        <v>0</v>
      </c>
      <c r="E229" s="514"/>
      <c r="F229" s="515"/>
      <c r="G229" s="64">
        <f t="shared" si="33"/>
        <v>98.964275069633928</v>
      </c>
      <c r="H229" s="64">
        <f t="shared" si="36"/>
        <v>79.171420055707145</v>
      </c>
      <c r="I229" s="514"/>
      <c r="J229" s="515"/>
      <c r="K229" s="348">
        <f t="shared" si="35"/>
        <v>0</v>
      </c>
      <c r="L229" s="348">
        <f t="shared" si="35"/>
        <v>0</v>
      </c>
      <c r="M229" s="508"/>
      <c r="N229" s="509"/>
      <c r="O229" s="349">
        <f t="shared" si="34"/>
        <v>0</v>
      </c>
      <c r="P229" s="519"/>
      <c r="Q229" s="45"/>
    </row>
    <row r="230" spans="1:28" s="60" customFormat="1" outlineLevel="1" x14ac:dyDescent="0.25">
      <c r="A230" s="61">
        <v>900</v>
      </c>
      <c r="B230" s="61">
        <v>920</v>
      </c>
      <c r="C230" s="81">
        <v>0</v>
      </c>
      <c r="D230" s="81">
        <v>0</v>
      </c>
      <c r="E230" s="514"/>
      <c r="F230" s="515"/>
      <c r="G230" s="64">
        <f t="shared" si="33"/>
        <v>108.98944078802762</v>
      </c>
      <c r="H230" s="64">
        <f t="shared" si="36"/>
        <v>87.191552630422109</v>
      </c>
      <c r="I230" s="514"/>
      <c r="J230" s="515"/>
      <c r="K230" s="348">
        <f t="shared" si="35"/>
        <v>0</v>
      </c>
      <c r="L230" s="348">
        <f t="shared" si="35"/>
        <v>0</v>
      </c>
      <c r="M230" s="508"/>
      <c r="N230" s="509"/>
      <c r="O230" s="349">
        <f t="shared" si="34"/>
        <v>0</v>
      </c>
      <c r="P230" s="519"/>
      <c r="Q230" s="45"/>
    </row>
    <row r="231" spans="1:28" s="60" customFormat="1" outlineLevel="1" x14ac:dyDescent="0.25">
      <c r="A231" s="61">
        <v>1000</v>
      </c>
      <c r="B231" s="61">
        <v>1020</v>
      </c>
      <c r="C231" s="81">
        <v>0</v>
      </c>
      <c r="D231" s="81">
        <v>0</v>
      </c>
      <c r="E231" s="514"/>
      <c r="F231" s="515"/>
      <c r="G231" s="64">
        <f t="shared" si="33"/>
        <v>120.01855451475195</v>
      </c>
      <c r="H231" s="64">
        <f t="shared" si="36"/>
        <v>96.014843611801567</v>
      </c>
      <c r="I231" s="514"/>
      <c r="J231" s="515"/>
      <c r="K231" s="348">
        <f t="shared" si="35"/>
        <v>0</v>
      </c>
      <c r="L231" s="348">
        <f t="shared" si="35"/>
        <v>0</v>
      </c>
      <c r="M231" s="508"/>
      <c r="N231" s="509"/>
      <c r="O231" s="349">
        <f t="shared" si="34"/>
        <v>0</v>
      </c>
      <c r="P231" s="519"/>
      <c r="Q231" s="45"/>
    </row>
    <row r="232" spans="1:28" s="38" customFormat="1" ht="56.25" customHeight="1" x14ac:dyDescent="0.25">
      <c r="A232" s="496" t="s">
        <v>57</v>
      </c>
      <c r="B232" s="497"/>
      <c r="C232" s="36">
        <f>SUM(C212:C231)</f>
        <v>0</v>
      </c>
      <c r="D232" s="36">
        <f>SUM(D212:D231)</f>
        <v>0</v>
      </c>
      <c r="E232" s="516"/>
      <c r="F232" s="517"/>
      <c r="G232" s="23">
        <f>IF(C232=0,0,SUMPRODUCT(C212:C231,G212:G231)/C232)</f>
        <v>0</v>
      </c>
      <c r="H232" s="23">
        <f>IF(D232=0,0,SUMPRODUCT(D212:D231,H212:H231)/D232)</f>
        <v>0</v>
      </c>
      <c r="I232" s="516"/>
      <c r="J232" s="517"/>
      <c r="K232" s="350">
        <f>SUM(K212:K231)</f>
        <v>0</v>
      </c>
      <c r="L232" s="350">
        <f>SUM(L212:L231)</f>
        <v>0</v>
      </c>
      <c r="M232" s="510"/>
      <c r="N232" s="511"/>
      <c r="O232" s="351">
        <f>SUM(O212:O231)</f>
        <v>0</v>
      </c>
      <c r="P232" s="520"/>
      <c r="Q232" s="37"/>
    </row>
    <row r="233" spans="1:28" s="62" customFormat="1" ht="36" customHeight="1" x14ac:dyDescent="0.25">
      <c r="A233" s="501" t="s">
        <v>73</v>
      </c>
      <c r="B233" s="501"/>
      <c r="C233" s="501"/>
      <c r="D233" s="501"/>
      <c r="E233" s="501"/>
      <c r="F233" s="501"/>
      <c r="G233" s="501"/>
      <c r="H233" s="501"/>
      <c r="I233" s="501"/>
      <c r="J233" s="501"/>
      <c r="K233" s="501"/>
      <c r="L233" s="501"/>
      <c r="M233" s="501"/>
      <c r="N233" s="501"/>
      <c r="O233" s="501"/>
      <c r="P233" s="501"/>
      <c r="Q233" s="82"/>
    </row>
    <row r="234" spans="1:28" s="32" customFormat="1" ht="93" customHeight="1" x14ac:dyDescent="0.25">
      <c r="A234" s="32" t="s">
        <v>30</v>
      </c>
      <c r="B234" s="32" t="s">
        <v>31</v>
      </c>
      <c r="C234" s="32" t="s">
        <v>58</v>
      </c>
      <c r="D234" s="32" t="s">
        <v>59</v>
      </c>
      <c r="E234" s="32" t="s">
        <v>60</v>
      </c>
      <c r="F234" s="32" t="s">
        <v>61</v>
      </c>
      <c r="G234" s="32" t="s">
        <v>34</v>
      </c>
      <c r="H234" s="32" t="s">
        <v>35</v>
      </c>
      <c r="I234" s="32" t="s">
        <v>36</v>
      </c>
      <c r="J234" s="32" t="s">
        <v>37</v>
      </c>
      <c r="K234" s="352" t="s">
        <v>38</v>
      </c>
      <c r="L234" s="352" t="s">
        <v>39</v>
      </c>
      <c r="M234" s="352" t="s">
        <v>40</v>
      </c>
      <c r="N234" s="352" t="s">
        <v>41</v>
      </c>
      <c r="O234" s="353" t="s">
        <v>42</v>
      </c>
      <c r="P234" s="25" t="s">
        <v>43</v>
      </c>
      <c r="Q234" s="29"/>
      <c r="R234" s="30"/>
      <c r="S234" s="30"/>
      <c r="T234" s="30"/>
      <c r="U234" s="30"/>
      <c r="V234" s="30"/>
      <c r="W234" s="30"/>
      <c r="X234" s="30"/>
      <c r="Y234" s="30"/>
      <c r="Z234" s="30"/>
      <c r="AA234" s="30"/>
      <c r="AB234" s="31"/>
    </row>
    <row r="235" spans="1:28" s="30" customFormat="1" ht="14.25" x14ac:dyDescent="0.25">
      <c r="A235" s="33" t="s">
        <v>44</v>
      </c>
      <c r="B235" s="33" t="s">
        <v>44</v>
      </c>
      <c r="C235" s="33" t="s">
        <v>45</v>
      </c>
      <c r="D235" s="33" t="s">
        <v>45</v>
      </c>
      <c r="E235" s="33" t="s">
        <v>45</v>
      </c>
      <c r="F235" s="33" t="s">
        <v>45</v>
      </c>
      <c r="G235" s="33" t="s">
        <v>46</v>
      </c>
      <c r="H235" s="33" t="s">
        <v>46</v>
      </c>
      <c r="I235" s="33" t="s">
        <v>46</v>
      </c>
      <c r="J235" s="33" t="s">
        <v>46</v>
      </c>
      <c r="K235" s="346" t="s">
        <v>17</v>
      </c>
      <c r="L235" s="346" t="s">
        <v>17</v>
      </c>
      <c r="M235" s="346" t="s">
        <v>17</v>
      </c>
      <c r="N235" s="346" t="s">
        <v>17</v>
      </c>
      <c r="O235" s="347"/>
      <c r="P235" s="34"/>
      <c r="Q235" s="35"/>
    </row>
    <row r="236" spans="1:28" s="60" customFormat="1" outlineLevel="1" x14ac:dyDescent="0.25">
      <c r="A236" s="61">
        <v>25</v>
      </c>
      <c r="B236" s="61">
        <v>32</v>
      </c>
      <c r="C236" s="81">
        <v>0</v>
      </c>
      <c r="D236" s="81">
        <v>0</v>
      </c>
      <c r="E236" s="81">
        <v>0</v>
      </c>
      <c r="F236" s="81">
        <v>0</v>
      </c>
      <c r="G236" s="64">
        <f>(Q9-N9)/25*(50-65)+N9</f>
        <v>11.8</v>
      </c>
      <c r="H236" s="64">
        <f>G236*0.5</f>
        <v>5.9</v>
      </c>
      <c r="I236" s="64">
        <f>G236*40/55</f>
        <v>8.581818181818182</v>
      </c>
      <c r="J236" s="64">
        <f>I236*0.5</f>
        <v>4.290909090909091</v>
      </c>
      <c r="K236" s="348">
        <f t="shared" ref="K236:N242" si="37">C236*G236*$I$39*1.2/1000000*24</f>
        <v>0</v>
      </c>
      <c r="L236" s="348">
        <f t="shared" si="37"/>
        <v>0</v>
      </c>
      <c r="M236" s="348">
        <f t="shared" si="37"/>
        <v>0</v>
      </c>
      <c r="N236" s="348">
        <f t="shared" si="37"/>
        <v>0</v>
      </c>
      <c r="O236" s="358" t="s">
        <v>48</v>
      </c>
      <c r="P236" s="24" t="s">
        <v>48</v>
      </c>
      <c r="Q236" s="45"/>
    </row>
    <row r="237" spans="1:28" s="60" customFormat="1" outlineLevel="1" x14ac:dyDescent="0.25">
      <c r="A237" s="61">
        <v>40</v>
      </c>
      <c r="B237" s="61">
        <v>45</v>
      </c>
      <c r="C237" s="81">
        <v>0</v>
      </c>
      <c r="D237" s="81">
        <v>0</v>
      </c>
      <c r="E237" s="81">
        <v>0</v>
      </c>
      <c r="F237" s="81">
        <v>0</v>
      </c>
      <c r="G237" s="64">
        <f t="shared" ref="G237:G255" si="38">(Q10-N10)/25*(50-65)+N10</f>
        <v>13.2</v>
      </c>
      <c r="H237" s="64">
        <f>G237*0.5</f>
        <v>6.6</v>
      </c>
      <c r="I237" s="64">
        <f t="shared" ref="I237:I255" si="39">G237*40/55</f>
        <v>9.6</v>
      </c>
      <c r="J237" s="64">
        <f>I237*0.5</f>
        <v>4.8</v>
      </c>
      <c r="K237" s="348">
        <f t="shared" si="37"/>
        <v>0</v>
      </c>
      <c r="L237" s="348">
        <f t="shared" si="37"/>
        <v>0</v>
      </c>
      <c r="M237" s="348">
        <f t="shared" si="37"/>
        <v>0</v>
      </c>
      <c r="N237" s="348">
        <f t="shared" si="37"/>
        <v>0</v>
      </c>
      <c r="O237" s="358" t="s">
        <v>48</v>
      </c>
      <c r="P237" s="24" t="s">
        <v>48</v>
      </c>
      <c r="Q237" s="45"/>
    </row>
    <row r="238" spans="1:28" s="60" customFormat="1" outlineLevel="1" x14ac:dyDescent="0.25">
      <c r="A238" s="61">
        <v>50</v>
      </c>
      <c r="B238" s="61">
        <v>57</v>
      </c>
      <c r="C238" s="81">
        <v>0</v>
      </c>
      <c r="D238" s="81">
        <v>0</v>
      </c>
      <c r="E238" s="81">
        <v>0</v>
      </c>
      <c r="F238" s="81">
        <v>0</v>
      </c>
      <c r="G238" s="64">
        <f t="shared" si="38"/>
        <v>15.2</v>
      </c>
      <c r="H238" s="64">
        <f>G238*0.5</f>
        <v>7.6</v>
      </c>
      <c r="I238" s="64">
        <f t="shared" si="39"/>
        <v>11.054545454545455</v>
      </c>
      <c r="J238" s="64">
        <f>I238*0.5</f>
        <v>5.5272727272727273</v>
      </c>
      <c r="K238" s="348">
        <f t="shared" si="37"/>
        <v>0</v>
      </c>
      <c r="L238" s="348">
        <f t="shared" si="37"/>
        <v>0</v>
      </c>
      <c r="M238" s="348">
        <f t="shared" si="37"/>
        <v>0</v>
      </c>
      <c r="N238" s="348">
        <f t="shared" si="37"/>
        <v>0</v>
      </c>
      <c r="O238" s="358" t="s">
        <v>48</v>
      </c>
      <c r="P238" s="24" t="s">
        <v>48</v>
      </c>
      <c r="Q238" s="45"/>
    </row>
    <row r="239" spans="1:28" s="60" customFormat="1" outlineLevel="1" x14ac:dyDescent="0.25">
      <c r="A239" s="61">
        <v>65</v>
      </c>
      <c r="B239" s="61">
        <v>76</v>
      </c>
      <c r="C239" s="81">
        <v>0</v>
      </c>
      <c r="D239" s="81">
        <v>0</v>
      </c>
      <c r="E239" s="81">
        <v>0</v>
      </c>
      <c r="F239" s="81">
        <v>0</v>
      </c>
      <c r="G239" s="64">
        <f t="shared" si="38"/>
        <v>16.399999999999999</v>
      </c>
      <c r="H239" s="64">
        <f>G239*0.5</f>
        <v>8.1999999999999993</v>
      </c>
      <c r="I239" s="64">
        <f t="shared" si="39"/>
        <v>11.927272727272728</v>
      </c>
      <c r="J239" s="64">
        <f>I239*0.5</f>
        <v>5.9636363636363638</v>
      </c>
      <c r="K239" s="348">
        <f t="shared" si="37"/>
        <v>0</v>
      </c>
      <c r="L239" s="348">
        <f t="shared" si="37"/>
        <v>0</v>
      </c>
      <c r="M239" s="348">
        <f t="shared" si="37"/>
        <v>0</v>
      </c>
      <c r="N239" s="348">
        <f t="shared" si="37"/>
        <v>0</v>
      </c>
      <c r="O239" s="358" t="s">
        <v>48</v>
      </c>
      <c r="P239" s="24" t="s">
        <v>48</v>
      </c>
      <c r="Q239" s="45"/>
    </row>
    <row r="240" spans="1:28" s="60" customFormat="1" outlineLevel="1" x14ac:dyDescent="0.25">
      <c r="A240" s="61">
        <v>80</v>
      </c>
      <c r="B240" s="61">
        <v>89</v>
      </c>
      <c r="C240" s="81">
        <v>0</v>
      </c>
      <c r="D240" s="81">
        <v>0</v>
      </c>
      <c r="E240" s="81">
        <v>0</v>
      </c>
      <c r="F240" s="81">
        <v>0</v>
      </c>
      <c r="G240" s="64">
        <f t="shared" si="38"/>
        <v>18.399999999999999</v>
      </c>
      <c r="H240" s="64">
        <f>G240*0.6</f>
        <v>11.04</v>
      </c>
      <c r="I240" s="64">
        <f t="shared" si="39"/>
        <v>13.381818181818181</v>
      </c>
      <c r="J240" s="64">
        <f>I240*0.6</f>
        <v>8.0290909090909075</v>
      </c>
      <c r="K240" s="348">
        <f t="shared" si="37"/>
        <v>0</v>
      </c>
      <c r="L240" s="348">
        <f t="shared" si="37"/>
        <v>0</v>
      </c>
      <c r="M240" s="348">
        <f t="shared" si="37"/>
        <v>0</v>
      </c>
      <c r="N240" s="348">
        <f t="shared" si="37"/>
        <v>0</v>
      </c>
      <c r="O240" s="358" t="s">
        <v>48</v>
      </c>
      <c r="P240" s="24" t="s">
        <v>48</v>
      </c>
      <c r="Q240" s="45"/>
    </row>
    <row r="241" spans="1:17" s="60" customFormat="1" outlineLevel="1" x14ac:dyDescent="0.25">
      <c r="A241" s="61">
        <v>100</v>
      </c>
      <c r="B241" s="61">
        <v>108</v>
      </c>
      <c r="C241" s="81">
        <v>0</v>
      </c>
      <c r="D241" s="81">
        <v>0</v>
      </c>
      <c r="E241" s="81">
        <v>0</v>
      </c>
      <c r="F241" s="81">
        <v>0</v>
      </c>
      <c r="G241" s="64">
        <f t="shared" si="38"/>
        <v>20.2</v>
      </c>
      <c r="H241" s="64">
        <f>G241*0.6</f>
        <v>12.12</v>
      </c>
      <c r="I241" s="64">
        <f t="shared" si="39"/>
        <v>14.690909090909091</v>
      </c>
      <c r="J241" s="64">
        <f>I241*0.6</f>
        <v>8.8145454545454545</v>
      </c>
      <c r="K241" s="348">
        <f>C241*G241*$I$39*1.2/1000000*24</f>
        <v>0</v>
      </c>
      <c r="L241" s="348">
        <f t="shared" si="37"/>
        <v>0</v>
      </c>
      <c r="M241" s="348">
        <f t="shared" si="37"/>
        <v>0</v>
      </c>
      <c r="N241" s="348">
        <f t="shared" si="37"/>
        <v>0</v>
      </c>
      <c r="O241" s="358" t="s">
        <v>48</v>
      </c>
      <c r="P241" s="24" t="s">
        <v>48</v>
      </c>
      <c r="Q241" s="45"/>
    </row>
    <row r="242" spans="1:17" s="60" customFormat="1" outlineLevel="1" x14ac:dyDescent="0.25">
      <c r="A242" s="61">
        <v>125</v>
      </c>
      <c r="B242" s="61">
        <v>133</v>
      </c>
      <c r="C242" s="81">
        <v>0</v>
      </c>
      <c r="D242" s="81">
        <v>0</v>
      </c>
      <c r="E242" s="81">
        <v>0</v>
      </c>
      <c r="F242" s="81">
        <v>0</v>
      </c>
      <c r="G242" s="64">
        <f t="shared" si="38"/>
        <v>24.4</v>
      </c>
      <c r="H242" s="64">
        <f>G242*0.6</f>
        <v>14.639999999999999</v>
      </c>
      <c r="I242" s="64">
        <f t="shared" si="39"/>
        <v>17.745454545454546</v>
      </c>
      <c r="J242" s="64">
        <f>I242*0.6</f>
        <v>10.647272727272727</v>
      </c>
      <c r="K242" s="348">
        <f t="shared" si="37"/>
        <v>0</v>
      </c>
      <c r="L242" s="348">
        <f t="shared" si="37"/>
        <v>0</v>
      </c>
      <c r="M242" s="348">
        <f t="shared" si="37"/>
        <v>0</v>
      </c>
      <c r="N242" s="348">
        <f t="shared" si="37"/>
        <v>0</v>
      </c>
      <c r="O242" s="358" t="s">
        <v>48</v>
      </c>
      <c r="P242" s="24" t="s">
        <v>48</v>
      </c>
      <c r="Q242" s="45">
        <v>2</v>
      </c>
    </row>
    <row r="243" spans="1:17" s="60" customFormat="1" outlineLevel="1" x14ac:dyDescent="0.25">
      <c r="A243" s="61">
        <v>150</v>
      </c>
      <c r="B243" s="61">
        <v>159</v>
      </c>
      <c r="C243" s="81">
        <v>0</v>
      </c>
      <c r="D243" s="81">
        <v>0</v>
      </c>
      <c r="E243" s="81">
        <v>0</v>
      </c>
      <c r="F243" s="81">
        <v>0</v>
      </c>
      <c r="G243" s="64">
        <f t="shared" si="38"/>
        <v>24.8</v>
      </c>
      <c r="H243" s="64">
        <f>G243*0.6</f>
        <v>14.879999999999999</v>
      </c>
      <c r="I243" s="64">
        <f t="shared" si="39"/>
        <v>18.036363636363635</v>
      </c>
      <c r="J243" s="64">
        <f>I243*0.6</f>
        <v>10.82181818181818</v>
      </c>
      <c r="K243" s="348">
        <f>C243*G243*$I$39*1.15/1000000*24</f>
        <v>0</v>
      </c>
      <c r="L243" s="348">
        <f>D243*H243*$I$39*1.15/1000000*24</f>
        <v>0</v>
      </c>
      <c r="M243" s="348">
        <f>E243*I243*$I$39*1.15/1000000*24</f>
        <v>0</v>
      </c>
      <c r="N243" s="348">
        <f>F243*J243*$I$39*1.15/1000000*24</f>
        <v>0</v>
      </c>
      <c r="O243" s="358" t="s">
        <v>48</v>
      </c>
      <c r="P243" s="24" t="s">
        <v>48</v>
      </c>
      <c r="Q243" s="45"/>
    </row>
    <row r="244" spans="1:17" s="60" customFormat="1" outlineLevel="1" x14ac:dyDescent="0.25">
      <c r="A244" s="61">
        <v>200</v>
      </c>
      <c r="B244" s="61">
        <v>219</v>
      </c>
      <c r="C244" s="81">
        <v>0</v>
      </c>
      <c r="D244" s="81">
        <v>0</v>
      </c>
      <c r="E244" s="81">
        <v>0</v>
      </c>
      <c r="F244" s="81">
        <v>0</v>
      </c>
      <c r="G244" s="64">
        <f t="shared" si="38"/>
        <v>30</v>
      </c>
      <c r="H244" s="64">
        <f>G244*0.7</f>
        <v>21</v>
      </c>
      <c r="I244" s="64">
        <f t="shared" si="39"/>
        <v>21.818181818181817</v>
      </c>
      <c r="J244" s="64">
        <f>I244*0.7</f>
        <v>15.27272727272727</v>
      </c>
      <c r="K244" s="348">
        <f t="shared" ref="K244:N255" si="40">C244*G244*$I$39*1.15/1000000*24</f>
        <v>0</v>
      </c>
      <c r="L244" s="348">
        <f t="shared" si="40"/>
        <v>0</v>
      </c>
      <c r="M244" s="348">
        <f t="shared" si="40"/>
        <v>0</v>
      </c>
      <c r="N244" s="348">
        <f t="shared" si="40"/>
        <v>0</v>
      </c>
      <c r="O244" s="358" t="s">
        <v>48</v>
      </c>
      <c r="P244" s="24" t="s">
        <v>48</v>
      </c>
      <c r="Q244" s="45"/>
    </row>
    <row r="245" spans="1:17" s="60" customFormat="1" outlineLevel="1" x14ac:dyDescent="0.25">
      <c r="A245" s="61">
        <v>250</v>
      </c>
      <c r="B245" s="61">
        <v>273</v>
      </c>
      <c r="C245" s="81">
        <v>0</v>
      </c>
      <c r="D245" s="81">
        <v>0</v>
      </c>
      <c r="E245" s="81">
        <v>0</v>
      </c>
      <c r="F245" s="81">
        <v>0</v>
      </c>
      <c r="G245" s="64">
        <f t="shared" si="38"/>
        <v>33.6</v>
      </c>
      <c r="H245" s="64">
        <f>G245*0.7</f>
        <v>23.52</v>
      </c>
      <c r="I245" s="64">
        <f t="shared" si="39"/>
        <v>24.436363636363637</v>
      </c>
      <c r="J245" s="64">
        <f>I245*0.7</f>
        <v>17.105454545454545</v>
      </c>
      <c r="K245" s="348">
        <f t="shared" si="40"/>
        <v>0</v>
      </c>
      <c r="L245" s="348">
        <f t="shared" si="40"/>
        <v>0</v>
      </c>
      <c r="M245" s="348">
        <f t="shared" si="40"/>
        <v>0</v>
      </c>
      <c r="N245" s="348">
        <f t="shared" si="40"/>
        <v>0</v>
      </c>
      <c r="O245" s="358" t="s">
        <v>48</v>
      </c>
      <c r="P245" s="24" t="s">
        <v>48</v>
      </c>
      <c r="Q245" s="45"/>
    </row>
    <row r="246" spans="1:17" s="60" customFormat="1" outlineLevel="1" x14ac:dyDescent="0.25">
      <c r="A246" s="61">
        <v>300</v>
      </c>
      <c r="B246" s="61">
        <v>325</v>
      </c>
      <c r="C246" s="81">
        <v>0</v>
      </c>
      <c r="D246" s="81">
        <v>0</v>
      </c>
      <c r="E246" s="81">
        <v>0</v>
      </c>
      <c r="F246" s="81">
        <v>0</v>
      </c>
      <c r="G246" s="64">
        <f t="shared" si="38"/>
        <v>38</v>
      </c>
      <c r="H246" s="64">
        <f>G246*0.7</f>
        <v>26.599999999999998</v>
      </c>
      <c r="I246" s="64">
        <f t="shared" si="39"/>
        <v>27.636363636363637</v>
      </c>
      <c r="J246" s="64">
        <f>I246*0.7</f>
        <v>19.345454545454544</v>
      </c>
      <c r="K246" s="348">
        <f t="shared" si="40"/>
        <v>0</v>
      </c>
      <c r="L246" s="348">
        <f t="shared" si="40"/>
        <v>0</v>
      </c>
      <c r="M246" s="348">
        <f t="shared" si="40"/>
        <v>0</v>
      </c>
      <c r="N246" s="348">
        <f t="shared" si="40"/>
        <v>0</v>
      </c>
      <c r="O246" s="358" t="s">
        <v>48</v>
      </c>
      <c r="P246" s="24" t="s">
        <v>48</v>
      </c>
      <c r="Q246" s="45"/>
    </row>
    <row r="247" spans="1:17" s="60" customFormat="1" outlineLevel="1" x14ac:dyDescent="0.25">
      <c r="A247" s="61">
        <v>350</v>
      </c>
      <c r="B247" s="61">
        <v>377</v>
      </c>
      <c r="C247" s="81">
        <v>0</v>
      </c>
      <c r="D247" s="81">
        <v>0</v>
      </c>
      <c r="E247" s="81">
        <v>0</v>
      </c>
      <c r="F247" s="81">
        <v>0</v>
      </c>
      <c r="G247" s="64">
        <f t="shared" si="38"/>
        <v>43</v>
      </c>
      <c r="H247" s="64">
        <f t="shared" ref="H247:H255" si="41">G247*0.8</f>
        <v>34.4</v>
      </c>
      <c r="I247" s="64">
        <f t="shared" si="39"/>
        <v>31.272727272727273</v>
      </c>
      <c r="J247" s="64">
        <f t="shared" ref="J247:J255" si="42">I247*0.8</f>
        <v>25.018181818181819</v>
      </c>
      <c r="K247" s="348">
        <f t="shared" si="40"/>
        <v>0</v>
      </c>
      <c r="L247" s="348">
        <f t="shared" si="40"/>
        <v>0</v>
      </c>
      <c r="M247" s="348">
        <f t="shared" si="40"/>
        <v>0</v>
      </c>
      <c r="N247" s="348">
        <f t="shared" si="40"/>
        <v>0</v>
      </c>
      <c r="O247" s="358" t="s">
        <v>48</v>
      </c>
      <c r="P247" s="24" t="s">
        <v>48</v>
      </c>
      <c r="Q247" s="45"/>
    </row>
    <row r="248" spans="1:17" s="60" customFormat="1" outlineLevel="1" x14ac:dyDescent="0.25">
      <c r="A248" s="61">
        <v>400</v>
      </c>
      <c r="B248" s="61">
        <v>426</v>
      </c>
      <c r="C248" s="81">
        <v>0</v>
      </c>
      <c r="D248" s="81">
        <v>0</v>
      </c>
      <c r="E248" s="81">
        <v>0</v>
      </c>
      <c r="F248" s="81">
        <v>0</v>
      </c>
      <c r="G248" s="64">
        <f t="shared" si="38"/>
        <v>43.6</v>
      </c>
      <c r="H248" s="64">
        <f t="shared" si="41"/>
        <v>34.880000000000003</v>
      </c>
      <c r="I248" s="64">
        <f t="shared" si="39"/>
        <v>31.709090909090911</v>
      </c>
      <c r="J248" s="64">
        <f t="shared" si="42"/>
        <v>25.367272727272731</v>
      </c>
      <c r="K248" s="348">
        <f t="shared" si="40"/>
        <v>0</v>
      </c>
      <c r="L248" s="348">
        <f t="shared" si="40"/>
        <v>0</v>
      </c>
      <c r="M248" s="348">
        <f t="shared" si="40"/>
        <v>0</v>
      </c>
      <c r="N248" s="348">
        <f t="shared" si="40"/>
        <v>0</v>
      </c>
      <c r="O248" s="358" t="s">
        <v>48</v>
      </c>
      <c r="P248" s="24" t="s">
        <v>48</v>
      </c>
      <c r="Q248" s="45"/>
    </row>
    <row r="249" spans="1:17" s="60" customFormat="1" outlineLevel="1" x14ac:dyDescent="0.25">
      <c r="A249" s="61">
        <v>450</v>
      </c>
      <c r="B249" s="61">
        <v>478</v>
      </c>
      <c r="C249" s="81">
        <v>0</v>
      </c>
      <c r="D249" s="81">
        <v>0</v>
      </c>
      <c r="E249" s="81">
        <v>0</v>
      </c>
      <c r="F249" s="81">
        <v>0</v>
      </c>
      <c r="G249" s="64">
        <f t="shared" si="38"/>
        <v>51.4</v>
      </c>
      <c r="H249" s="64">
        <f t="shared" si="41"/>
        <v>41.120000000000005</v>
      </c>
      <c r="I249" s="64">
        <f t="shared" si="39"/>
        <v>37.381818181818183</v>
      </c>
      <c r="J249" s="64">
        <f t="shared" si="42"/>
        <v>29.905454545454546</v>
      </c>
      <c r="K249" s="348">
        <f t="shared" si="40"/>
        <v>0</v>
      </c>
      <c r="L249" s="348">
        <f t="shared" si="40"/>
        <v>0</v>
      </c>
      <c r="M249" s="348">
        <f t="shared" si="40"/>
        <v>0</v>
      </c>
      <c r="N249" s="348">
        <f t="shared" si="40"/>
        <v>0</v>
      </c>
      <c r="O249" s="358" t="s">
        <v>48</v>
      </c>
      <c r="P249" s="24" t="s">
        <v>48</v>
      </c>
      <c r="Q249" s="45"/>
    </row>
    <row r="250" spans="1:17" s="60" customFormat="1" outlineLevel="1" x14ac:dyDescent="0.25">
      <c r="A250" s="61">
        <v>500</v>
      </c>
      <c r="B250" s="61">
        <v>529</v>
      </c>
      <c r="C250" s="81">
        <v>0</v>
      </c>
      <c r="D250" s="81">
        <v>0</v>
      </c>
      <c r="E250" s="81">
        <v>0</v>
      </c>
      <c r="F250" s="81">
        <v>0</v>
      </c>
      <c r="G250" s="64">
        <f t="shared" si="38"/>
        <v>50</v>
      </c>
      <c r="H250" s="64">
        <f t="shared" si="41"/>
        <v>40</v>
      </c>
      <c r="I250" s="64">
        <f t="shared" si="39"/>
        <v>36.363636363636367</v>
      </c>
      <c r="J250" s="64">
        <f t="shared" si="42"/>
        <v>29.090909090909093</v>
      </c>
      <c r="K250" s="348">
        <f t="shared" si="40"/>
        <v>0</v>
      </c>
      <c r="L250" s="348">
        <f t="shared" si="40"/>
        <v>0</v>
      </c>
      <c r="M250" s="348">
        <f t="shared" si="40"/>
        <v>0</v>
      </c>
      <c r="N250" s="348">
        <f t="shared" si="40"/>
        <v>0</v>
      </c>
      <c r="O250" s="358" t="s">
        <v>48</v>
      </c>
      <c r="P250" s="24" t="s">
        <v>48</v>
      </c>
      <c r="Q250" s="45"/>
    </row>
    <row r="251" spans="1:17" s="60" customFormat="1" outlineLevel="1" x14ac:dyDescent="0.25">
      <c r="A251" s="61">
        <v>600</v>
      </c>
      <c r="B251" s="61">
        <v>630</v>
      </c>
      <c r="C251" s="81">
        <v>0</v>
      </c>
      <c r="D251" s="81">
        <v>0</v>
      </c>
      <c r="E251" s="81">
        <v>0</v>
      </c>
      <c r="F251" s="81">
        <v>0</v>
      </c>
      <c r="G251" s="64">
        <f t="shared" si="38"/>
        <v>61</v>
      </c>
      <c r="H251" s="64">
        <f t="shared" si="41"/>
        <v>48.800000000000004</v>
      </c>
      <c r="I251" s="64">
        <f t="shared" si="39"/>
        <v>44.363636363636367</v>
      </c>
      <c r="J251" s="64">
        <f t="shared" si="42"/>
        <v>35.490909090909092</v>
      </c>
      <c r="K251" s="348">
        <f t="shared" si="40"/>
        <v>0</v>
      </c>
      <c r="L251" s="348">
        <f t="shared" si="40"/>
        <v>0</v>
      </c>
      <c r="M251" s="348">
        <f t="shared" si="40"/>
        <v>0</v>
      </c>
      <c r="N251" s="348">
        <f t="shared" si="40"/>
        <v>0</v>
      </c>
      <c r="O251" s="358" t="s">
        <v>48</v>
      </c>
      <c r="P251" s="24" t="s">
        <v>48</v>
      </c>
      <c r="Q251" s="45"/>
    </row>
    <row r="252" spans="1:17" s="60" customFormat="1" outlineLevel="1" x14ac:dyDescent="0.25">
      <c r="A252" s="61">
        <v>700</v>
      </c>
      <c r="B252" s="61">
        <v>720</v>
      </c>
      <c r="C252" s="81">
        <v>0</v>
      </c>
      <c r="D252" s="81">
        <v>0</v>
      </c>
      <c r="E252" s="81">
        <v>0</v>
      </c>
      <c r="F252" s="81">
        <v>0</v>
      </c>
      <c r="G252" s="64">
        <f t="shared" si="38"/>
        <v>66.8</v>
      </c>
      <c r="H252" s="64">
        <f t="shared" si="41"/>
        <v>53.44</v>
      </c>
      <c r="I252" s="64">
        <f t="shared" si="39"/>
        <v>48.581818181818178</v>
      </c>
      <c r="J252" s="64">
        <f t="shared" si="42"/>
        <v>38.865454545454547</v>
      </c>
      <c r="K252" s="348">
        <f t="shared" si="40"/>
        <v>0</v>
      </c>
      <c r="L252" s="348">
        <f t="shared" si="40"/>
        <v>0</v>
      </c>
      <c r="M252" s="348">
        <f t="shared" si="40"/>
        <v>0</v>
      </c>
      <c r="N252" s="348">
        <f t="shared" si="40"/>
        <v>0</v>
      </c>
      <c r="O252" s="358" t="s">
        <v>48</v>
      </c>
      <c r="P252" s="24" t="s">
        <v>48</v>
      </c>
      <c r="Q252" s="45"/>
    </row>
    <row r="253" spans="1:17" s="60" customFormat="1" outlineLevel="1" x14ac:dyDescent="0.25">
      <c r="A253" s="61">
        <v>800</v>
      </c>
      <c r="B253" s="61">
        <v>820</v>
      </c>
      <c r="C253" s="81">
        <v>0</v>
      </c>
      <c r="D253" s="81">
        <v>0</v>
      </c>
      <c r="E253" s="81">
        <v>0</v>
      </c>
      <c r="F253" s="81">
        <v>0</v>
      </c>
      <c r="G253" s="64">
        <f t="shared" si="38"/>
        <v>76</v>
      </c>
      <c r="H253" s="64">
        <f t="shared" si="41"/>
        <v>60.800000000000004</v>
      </c>
      <c r="I253" s="64">
        <f t="shared" si="39"/>
        <v>55.272727272727273</v>
      </c>
      <c r="J253" s="64">
        <f t="shared" si="42"/>
        <v>44.218181818181819</v>
      </c>
      <c r="K253" s="348">
        <f t="shared" si="40"/>
        <v>0</v>
      </c>
      <c r="L253" s="348">
        <f t="shared" si="40"/>
        <v>0</v>
      </c>
      <c r="M253" s="348">
        <f t="shared" si="40"/>
        <v>0</v>
      </c>
      <c r="N253" s="348">
        <f t="shared" si="40"/>
        <v>0</v>
      </c>
      <c r="O253" s="358" t="s">
        <v>48</v>
      </c>
      <c r="P253" s="24" t="s">
        <v>48</v>
      </c>
      <c r="Q253" s="45"/>
    </row>
    <row r="254" spans="1:17" s="60" customFormat="1" outlineLevel="1" x14ac:dyDescent="0.25">
      <c r="A254" s="61">
        <v>900</v>
      </c>
      <c r="B254" s="61">
        <v>920</v>
      </c>
      <c r="C254" s="81">
        <v>0</v>
      </c>
      <c r="D254" s="81">
        <v>0</v>
      </c>
      <c r="E254" s="81">
        <v>0</v>
      </c>
      <c r="F254" s="81">
        <v>0</v>
      </c>
      <c r="G254" s="64">
        <f t="shared" si="38"/>
        <v>79</v>
      </c>
      <c r="H254" s="64">
        <f t="shared" si="41"/>
        <v>63.2</v>
      </c>
      <c r="I254" s="64">
        <f t="shared" si="39"/>
        <v>57.454545454545453</v>
      </c>
      <c r="J254" s="64">
        <f t="shared" si="42"/>
        <v>45.963636363636368</v>
      </c>
      <c r="K254" s="348">
        <f t="shared" si="40"/>
        <v>0</v>
      </c>
      <c r="L254" s="348">
        <f t="shared" si="40"/>
        <v>0</v>
      </c>
      <c r="M254" s="348">
        <f t="shared" si="40"/>
        <v>0</v>
      </c>
      <c r="N254" s="348">
        <f t="shared" si="40"/>
        <v>0</v>
      </c>
      <c r="O254" s="358" t="s">
        <v>48</v>
      </c>
      <c r="P254" s="24" t="s">
        <v>48</v>
      </c>
      <c r="Q254" s="45"/>
    </row>
    <row r="255" spans="1:17" s="60" customFormat="1" outlineLevel="1" x14ac:dyDescent="0.25">
      <c r="A255" s="61">
        <v>1000</v>
      </c>
      <c r="B255" s="61">
        <v>1020</v>
      </c>
      <c r="C255" s="81">
        <v>0</v>
      </c>
      <c r="D255" s="81">
        <v>0</v>
      </c>
      <c r="E255" s="81">
        <v>0</v>
      </c>
      <c r="F255" s="81">
        <v>0</v>
      </c>
      <c r="G255" s="64">
        <f t="shared" si="38"/>
        <v>92.4</v>
      </c>
      <c r="H255" s="64">
        <f t="shared" si="41"/>
        <v>73.92</v>
      </c>
      <c r="I255" s="64">
        <f t="shared" si="39"/>
        <v>67.2</v>
      </c>
      <c r="J255" s="64">
        <f t="shared" si="42"/>
        <v>53.760000000000005</v>
      </c>
      <c r="K255" s="348">
        <f t="shared" si="40"/>
        <v>0</v>
      </c>
      <c r="L255" s="348">
        <f t="shared" si="40"/>
        <v>0</v>
      </c>
      <c r="M255" s="348">
        <f t="shared" si="40"/>
        <v>0</v>
      </c>
      <c r="N255" s="348">
        <f t="shared" si="40"/>
        <v>0</v>
      </c>
      <c r="O255" s="358" t="s">
        <v>48</v>
      </c>
      <c r="P255" s="24" t="s">
        <v>48</v>
      </c>
      <c r="Q255" s="45"/>
    </row>
    <row r="256" spans="1:17" s="38" customFormat="1" ht="42" customHeight="1" x14ac:dyDescent="0.25">
      <c r="A256" s="496" t="s">
        <v>62</v>
      </c>
      <c r="B256" s="497"/>
      <c r="C256" s="36">
        <f>SUM(C236:C255)</f>
        <v>0</v>
      </c>
      <c r="D256" s="36">
        <f>SUM(D236:D255)</f>
        <v>0</v>
      </c>
      <c r="E256" s="36">
        <f>SUM(E236:E255)</f>
        <v>0</v>
      </c>
      <c r="F256" s="36">
        <f>SUM(F236:F255)</f>
        <v>0</v>
      </c>
      <c r="G256" s="23">
        <f>IF(C256=0,0,SUMPRODUCT(C236:C255,G236:G255)/C256)</f>
        <v>0</v>
      </c>
      <c r="H256" s="23">
        <f>IF(D256=0,0,SUMPRODUCT(D236:D255,H236:H255)/D256)</f>
        <v>0</v>
      </c>
      <c r="I256" s="23">
        <f>IF(E256=0,0,SUMPRODUCT(E236:E255,I236:I255)/E256)</f>
        <v>0</v>
      </c>
      <c r="J256" s="23">
        <f>IF(F256=0,0,SUMPRODUCT(F236:F255,J236:J255)/F256)</f>
        <v>0</v>
      </c>
      <c r="K256" s="350">
        <f>SUM(K236:K255)</f>
        <v>0</v>
      </c>
      <c r="L256" s="350">
        <f>SUM(L236:L255)</f>
        <v>0</v>
      </c>
      <c r="M256" s="350">
        <f>SUM(M236:M255)</f>
        <v>0</v>
      </c>
      <c r="N256" s="350">
        <f>SUM(N236:N255)</f>
        <v>0</v>
      </c>
      <c r="O256" s="353" t="s">
        <v>48</v>
      </c>
      <c r="P256" s="25" t="s">
        <v>48</v>
      </c>
      <c r="Q256" s="37"/>
    </row>
    <row r="257" spans="1:28" s="62" customFormat="1" ht="32.25" customHeight="1" x14ac:dyDescent="0.25">
      <c r="A257" s="501" t="s">
        <v>72</v>
      </c>
      <c r="B257" s="501"/>
      <c r="C257" s="501"/>
      <c r="D257" s="501"/>
      <c r="E257" s="501"/>
      <c r="F257" s="501"/>
      <c r="G257" s="501"/>
      <c r="H257" s="501"/>
      <c r="I257" s="501"/>
      <c r="J257" s="501"/>
      <c r="K257" s="501"/>
      <c r="L257" s="501"/>
      <c r="M257" s="501"/>
      <c r="N257" s="501"/>
      <c r="O257" s="501"/>
      <c r="P257" s="501"/>
      <c r="Q257" s="82"/>
    </row>
    <row r="258" spans="1:28" s="32" customFormat="1" ht="110.25" customHeight="1" x14ac:dyDescent="0.25">
      <c r="A258" s="32" t="s">
        <v>30</v>
      </c>
      <c r="B258" s="32" t="s">
        <v>31</v>
      </c>
      <c r="C258" s="32" t="s">
        <v>58</v>
      </c>
      <c r="D258" s="32" t="s">
        <v>59</v>
      </c>
      <c r="E258" s="32" t="s">
        <v>60</v>
      </c>
      <c r="F258" s="32" t="s">
        <v>61</v>
      </c>
      <c r="G258" s="32" t="s">
        <v>157</v>
      </c>
      <c r="H258" s="32" t="s">
        <v>158</v>
      </c>
      <c r="I258" s="32" t="s">
        <v>159</v>
      </c>
      <c r="J258" s="32" t="s">
        <v>160</v>
      </c>
      <c r="K258" s="352" t="s">
        <v>161</v>
      </c>
      <c r="L258" s="352" t="s">
        <v>162</v>
      </c>
      <c r="M258" s="352" t="s">
        <v>163</v>
      </c>
      <c r="N258" s="352" t="s">
        <v>164</v>
      </c>
      <c r="O258" s="353" t="s">
        <v>42</v>
      </c>
      <c r="P258" s="25" t="s">
        <v>43</v>
      </c>
      <c r="Q258" s="29"/>
      <c r="R258" s="30"/>
      <c r="S258" s="30"/>
      <c r="T258" s="30"/>
      <c r="U258" s="30"/>
      <c r="V258" s="30"/>
      <c r="W258" s="30"/>
      <c r="X258" s="30"/>
      <c r="Y258" s="30"/>
      <c r="Z258" s="30"/>
      <c r="AA258" s="30"/>
      <c r="AB258" s="31"/>
    </row>
    <row r="259" spans="1:28" s="30" customFormat="1" ht="14.25" x14ac:dyDescent="0.25">
      <c r="A259" s="33" t="s">
        <v>44</v>
      </c>
      <c r="B259" s="33" t="s">
        <v>44</v>
      </c>
      <c r="C259" s="33" t="s">
        <v>45</v>
      </c>
      <c r="D259" s="33" t="s">
        <v>45</v>
      </c>
      <c r="E259" s="33" t="s">
        <v>45</v>
      </c>
      <c r="F259" s="33" t="s">
        <v>45</v>
      </c>
      <c r="G259" s="33" t="s">
        <v>46</v>
      </c>
      <c r="H259" s="33" t="s">
        <v>46</v>
      </c>
      <c r="I259" s="33" t="s">
        <v>46</v>
      </c>
      <c r="J259" s="33" t="s">
        <v>46</v>
      </c>
      <c r="K259" s="346" t="s">
        <v>17</v>
      </c>
      <c r="L259" s="346" t="s">
        <v>17</v>
      </c>
      <c r="M259" s="346" t="s">
        <v>17</v>
      </c>
      <c r="N259" s="346" t="s">
        <v>17</v>
      </c>
      <c r="O259" s="347"/>
      <c r="P259" s="34"/>
      <c r="Q259" s="35"/>
    </row>
    <row r="260" spans="1:28" s="60" customFormat="1" outlineLevel="1" x14ac:dyDescent="0.25">
      <c r="A260" s="61">
        <v>25</v>
      </c>
      <c r="B260" s="61">
        <v>32</v>
      </c>
      <c r="C260" s="81">
        <v>0</v>
      </c>
      <c r="D260" s="81">
        <v>0</v>
      </c>
      <c r="E260" s="81">
        <v>0</v>
      </c>
      <c r="F260" s="81">
        <v>0</v>
      </c>
      <c r="G260" s="64">
        <f>(U9-S9)/25*(55-65)+S9</f>
        <v>28.6</v>
      </c>
      <c r="H260" s="64">
        <f>G260*0.5</f>
        <v>14.3</v>
      </c>
      <c r="I260" s="64">
        <f>G260*40/55</f>
        <v>20.8</v>
      </c>
      <c r="J260" s="64">
        <f>I260*0.5</f>
        <v>10.4</v>
      </c>
      <c r="K260" s="348">
        <f>C260*G260*$I$39*1.15/1000000*24</f>
        <v>0</v>
      </c>
      <c r="L260" s="348">
        <f>D260*H260*$I$39*1.15/1000000*24</f>
        <v>0</v>
      </c>
      <c r="M260" s="348">
        <f>E260*I260*$I$39*1.15/1000000*24</f>
        <v>0</v>
      </c>
      <c r="N260" s="348">
        <f>F260*J260*$I$39*1.15/1000000*24</f>
        <v>0</v>
      </c>
      <c r="O260" s="358" t="s">
        <v>48</v>
      </c>
      <c r="P260" s="24" t="s">
        <v>48</v>
      </c>
      <c r="Q260" s="45"/>
    </row>
    <row r="261" spans="1:28" s="60" customFormat="1" outlineLevel="1" x14ac:dyDescent="0.25">
      <c r="A261" s="61">
        <v>40</v>
      </c>
      <c r="B261" s="61">
        <v>45</v>
      </c>
      <c r="C261" s="81">
        <v>0</v>
      </c>
      <c r="D261" s="81">
        <v>0</v>
      </c>
      <c r="E261" s="81">
        <v>0</v>
      </c>
      <c r="F261" s="81">
        <v>0</v>
      </c>
      <c r="G261" s="64">
        <f t="shared" ref="G261:G277" si="43">(U10-S10)/25*(55-65)+S10</f>
        <v>31.5</v>
      </c>
      <c r="H261" s="64">
        <f>G261*0.5</f>
        <v>15.75</v>
      </c>
      <c r="I261" s="64">
        <f t="shared" ref="I261:I277" si="44">G261*40/55</f>
        <v>22.90909090909091</v>
      </c>
      <c r="J261" s="64">
        <f>I261*0.5</f>
        <v>11.454545454545455</v>
      </c>
      <c r="K261" s="348">
        <f t="shared" ref="K261:N279" si="45">C261*G261*$I$39*1.15/1000000*24</f>
        <v>0</v>
      </c>
      <c r="L261" s="348">
        <f t="shared" si="45"/>
        <v>0</v>
      </c>
      <c r="M261" s="348">
        <f t="shared" si="45"/>
        <v>0</v>
      </c>
      <c r="N261" s="348">
        <f t="shared" si="45"/>
        <v>0</v>
      </c>
      <c r="O261" s="358" t="s">
        <v>48</v>
      </c>
      <c r="P261" s="24" t="s">
        <v>48</v>
      </c>
      <c r="Q261" s="45"/>
    </row>
    <row r="262" spans="1:28" s="60" customFormat="1" outlineLevel="1" x14ac:dyDescent="0.25">
      <c r="A262" s="61">
        <v>50</v>
      </c>
      <c r="B262" s="61">
        <v>57</v>
      </c>
      <c r="C262" s="81">
        <v>0</v>
      </c>
      <c r="D262" s="81">
        <v>0</v>
      </c>
      <c r="E262" s="81">
        <v>0</v>
      </c>
      <c r="F262" s="81">
        <v>0</v>
      </c>
      <c r="G262" s="64">
        <f t="shared" si="43"/>
        <v>34.4</v>
      </c>
      <c r="H262" s="64">
        <f>G262*0.5</f>
        <v>17.2</v>
      </c>
      <c r="I262" s="64">
        <f t="shared" si="44"/>
        <v>25.018181818181819</v>
      </c>
      <c r="J262" s="64">
        <f>I262*0.5</f>
        <v>12.50909090909091</v>
      </c>
      <c r="K262" s="348">
        <f t="shared" si="45"/>
        <v>0</v>
      </c>
      <c r="L262" s="348">
        <f t="shared" si="45"/>
        <v>0</v>
      </c>
      <c r="M262" s="348">
        <f t="shared" si="45"/>
        <v>0</v>
      </c>
      <c r="N262" s="348">
        <f t="shared" si="45"/>
        <v>0</v>
      </c>
      <c r="O262" s="358" t="s">
        <v>48</v>
      </c>
      <c r="P262" s="24" t="s">
        <v>48</v>
      </c>
      <c r="Q262" s="45"/>
    </row>
    <row r="263" spans="1:28" s="60" customFormat="1" outlineLevel="1" x14ac:dyDescent="0.25">
      <c r="A263" s="61">
        <v>65</v>
      </c>
      <c r="B263" s="61">
        <v>76</v>
      </c>
      <c r="C263" s="81">
        <v>0</v>
      </c>
      <c r="D263" s="81">
        <v>0</v>
      </c>
      <c r="E263" s="81">
        <v>0</v>
      </c>
      <c r="F263" s="81">
        <v>0</v>
      </c>
      <c r="G263" s="64">
        <f t="shared" si="43"/>
        <v>39</v>
      </c>
      <c r="H263" s="64">
        <f>G263*0.5</f>
        <v>19.5</v>
      </c>
      <c r="I263" s="64">
        <f t="shared" si="44"/>
        <v>28.363636363636363</v>
      </c>
      <c r="J263" s="64">
        <f>I263*0.5</f>
        <v>14.181818181818182</v>
      </c>
      <c r="K263" s="348">
        <f t="shared" si="45"/>
        <v>0</v>
      </c>
      <c r="L263" s="348">
        <f t="shared" si="45"/>
        <v>0</v>
      </c>
      <c r="M263" s="348">
        <f t="shared" si="45"/>
        <v>0</v>
      </c>
      <c r="N263" s="348">
        <f t="shared" si="45"/>
        <v>0</v>
      </c>
      <c r="O263" s="358" t="s">
        <v>48</v>
      </c>
      <c r="P263" s="24" t="s">
        <v>48</v>
      </c>
      <c r="Q263" s="45"/>
    </row>
    <row r="264" spans="1:28" s="60" customFormat="1" outlineLevel="1" x14ac:dyDescent="0.25">
      <c r="A264" s="61">
        <v>80</v>
      </c>
      <c r="B264" s="61">
        <v>89</v>
      </c>
      <c r="C264" s="81">
        <v>0</v>
      </c>
      <c r="D264" s="81">
        <v>0</v>
      </c>
      <c r="E264" s="81">
        <v>0</v>
      </c>
      <c r="F264" s="81">
        <v>0</v>
      </c>
      <c r="G264" s="64">
        <f t="shared" si="43"/>
        <v>40</v>
      </c>
      <c r="H264" s="64">
        <f>G264*0.6</f>
        <v>24</v>
      </c>
      <c r="I264" s="64">
        <f t="shared" si="44"/>
        <v>29.09090909090909</v>
      </c>
      <c r="J264" s="64">
        <f>I264*0.6</f>
        <v>17.454545454545453</v>
      </c>
      <c r="K264" s="348">
        <f t="shared" si="45"/>
        <v>0</v>
      </c>
      <c r="L264" s="348">
        <f t="shared" si="45"/>
        <v>0</v>
      </c>
      <c r="M264" s="348">
        <f t="shared" si="45"/>
        <v>0</v>
      </c>
      <c r="N264" s="348">
        <f t="shared" si="45"/>
        <v>0</v>
      </c>
      <c r="O264" s="358" t="s">
        <v>48</v>
      </c>
      <c r="P264" s="24" t="s">
        <v>48</v>
      </c>
      <c r="Q264" s="45"/>
    </row>
    <row r="265" spans="1:28" s="60" customFormat="1" outlineLevel="1" x14ac:dyDescent="0.25">
      <c r="A265" s="61">
        <v>100</v>
      </c>
      <c r="B265" s="61">
        <v>108</v>
      </c>
      <c r="C265" s="81">
        <v>0</v>
      </c>
      <c r="D265" s="81">
        <v>0</v>
      </c>
      <c r="E265" s="81">
        <v>0</v>
      </c>
      <c r="F265" s="81">
        <v>0</v>
      </c>
      <c r="G265" s="64">
        <f t="shared" si="43"/>
        <v>42.6</v>
      </c>
      <c r="H265" s="64">
        <f>G265*0.6</f>
        <v>25.56</v>
      </c>
      <c r="I265" s="64">
        <f t="shared" si="44"/>
        <v>30.981818181818181</v>
      </c>
      <c r="J265" s="64">
        <f>I265*0.6</f>
        <v>18.589090909090906</v>
      </c>
      <c r="K265" s="348">
        <f t="shared" si="45"/>
        <v>0</v>
      </c>
      <c r="L265" s="348">
        <f t="shared" si="45"/>
        <v>0</v>
      </c>
      <c r="M265" s="348">
        <f t="shared" si="45"/>
        <v>0</v>
      </c>
      <c r="N265" s="348">
        <f t="shared" si="45"/>
        <v>0</v>
      </c>
      <c r="O265" s="358" t="s">
        <v>48</v>
      </c>
      <c r="P265" s="24" t="s">
        <v>48</v>
      </c>
      <c r="Q265" s="45"/>
    </row>
    <row r="266" spans="1:28" s="60" customFormat="1" outlineLevel="1" x14ac:dyDescent="0.25">
      <c r="A266" s="61">
        <v>125</v>
      </c>
      <c r="B266" s="61">
        <v>133</v>
      </c>
      <c r="C266" s="81">
        <v>0</v>
      </c>
      <c r="D266" s="81">
        <v>0</v>
      </c>
      <c r="E266" s="81">
        <v>0</v>
      </c>
      <c r="F266" s="81">
        <v>0</v>
      </c>
      <c r="G266" s="64">
        <f t="shared" si="43"/>
        <v>45.4</v>
      </c>
      <c r="H266" s="64">
        <f>G266*0.6</f>
        <v>27.24</v>
      </c>
      <c r="I266" s="64">
        <f t="shared" si="44"/>
        <v>33.018181818181816</v>
      </c>
      <c r="J266" s="64">
        <f>I266*0.6</f>
        <v>19.810909090909089</v>
      </c>
      <c r="K266" s="348">
        <f t="shared" si="45"/>
        <v>0</v>
      </c>
      <c r="L266" s="348">
        <f t="shared" si="45"/>
        <v>0</v>
      </c>
      <c r="M266" s="348">
        <f t="shared" si="45"/>
        <v>0</v>
      </c>
      <c r="N266" s="348">
        <f t="shared" si="45"/>
        <v>0</v>
      </c>
      <c r="O266" s="358" t="s">
        <v>48</v>
      </c>
      <c r="P266" s="24" t="s">
        <v>48</v>
      </c>
      <c r="Q266" s="45"/>
    </row>
    <row r="267" spans="1:28" s="60" customFormat="1" outlineLevel="1" x14ac:dyDescent="0.25">
      <c r="A267" s="61">
        <v>150</v>
      </c>
      <c r="B267" s="61">
        <v>159</v>
      </c>
      <c r="C267" s="81">
        <v>0</v>
      </c>
      <c r="D267" s="81">
        <v>0</v>
      </c>
      <c r="E267" s="81">
        <v>0</v>
      </c>
      <c r="F267" s="81">
        <v>0</v>
      </c>
      <c r="G267" s="64">
        <f t="shared" si="43"/>
        <v>52</v>
      </c>
      <c r="H267" s="64">
        <f>G267*0.6</f>
        <v>31.2</v>
      </c>
      <c r="I267" s="64">
        <f t="shared" si="44"/>
        <v>37.81818181818182</v>
      </c>
      <c r="J267" s="64">
        <f>I267*0.6</f>
        <v>22.690909090909091</v>
      </c>
      <c r="K267" s="348">
        <f t="shared" si="45"/>
        <v>0</v>
      </c>
      <c r="L267" s="348">
        <f t="shared" si="45"/>
        <v>0</v>
      </c>
      <c r="M267" s="348">
        <f t="shared" si="45"/>
        <v>0</v>
      </c>
      <c r="N267" s="348">
        <f t="shared" si="45"/>
        <v>0</v>
      </c>
      <c r="O267" s="358" t="s">
        <v>48</v>
      </c>
      <c r="P267" s="24" t="s">
        <v>48</v>
      </c>
      <c r="Q267" s="45"/>
    </row>
    <row r="268" spans="1:28" s="60" customFormat="1" outlineLevel="1" x14ac:dyDescent="0.25">
      <c r="A268" s="61">
        <v>200</v>
      </c>
      <c r="B268" s="61">
        <v>219</v>
      </c>
      <c r="C268" s="81">
        <v>0</v>
      </c>
      <c r="D268" s="81">
        <v>0</v>
      </c>
      <c r="E268" s="81">
        <v>0</v>
      </c>
      <c r="F268" s="81">
        <v>0</v>
      </c>
      <c r="G268" s="64">
        <f t="shared" si="43"/>
        <v>56.8</v>
      </c>
      <c r="H268" s="64">
        <f>G268*0.7</f>
        <v>39.76</v>
      </c>
      <c r="I268" s="64">
        <f t="shared" si="44"/>
        <v>41.309090909090912</v>
      </c>
      <c r="J268" s="64">
        <f>I268*0.7</f>
        <v>28.916363636363638</v>
      </c>
      <c r="K268" s="348">
        <f t="shared" si="45"/>
        <v>0</v>
      </c>
      <c r="L268" s="348">
        <f t="shared" si="45"/>
        <v>0</v>
      </c>
      <c r="M268" s="348">
        <f t="shared" si="45"/>
        <v>0</v>
      </c>
      <c r="N268" s="348">
        <f t="shared" si="45"/>
        <v>0</v>
      </c>
      <c r="O268" s="358" t="s">
        <v>48</v>
      </c>
      <c r="P268" s="24" t="s">
        <v>48</v>
      </c>
      <c r="Q268" s="45"/>
    </row>
    <row r="269" spans="1:28" s="60" customFormat="1" outlineLevel="1" x14ac:dyDescent="0.25">
      <c r="A269" s="61">
        <v>250</v>
      </c>
      <c r="B269" s="61">
        <v>273</v>
      </c>
      <c r="C269" s="81">
        <v>0</v>
      </c>
      <c r="D269" s="81">
        <v>0</v>
      </c>
      <c r="E269" s="81">
        <v>0</v>
      </c>
      <c r="F269" s="81">
        <v>0</v>
      </c>
      <c r="G269" s="64">
        <f t="shared" si="43"/>
        <v>62.4</v>
      </c>
      <c r="H269" s="64">
        <f>G269*0.7</f>
        <v>43.68</v>
      </c>
      <c r="I269" s="64">
        <f t="shared" si="44"/>
        <v>45.381818181818183</v>
      </c>
      <c r="J269" s="64">
        <f>I269*0.7</f>
        <v>31.767272727272726</v>
      </c>
      <c r="K269" s="348">
        <f t="shared" si="45"/>
        <v>0</v>
      </c>
      <c r="L269" s="348">
        <f t="shared" si="45"/>
        <v>0</v>
      </c>
      <c r="M269" s="348">
        <f t="shared" si="45"/>
        <v>0</v>
      </c>
      <c r="N269" s="348">
        <f t="shared" si="45"/>
        <v>0</v>
      </c>
      <c r="O269" s="358" t="s">
        <v>48</v>
      </c>
      <c r="P269" s="24" t="s">
        <v>48</v>
      </c>
      <c r="Q269" s="45"/>
    </row>
    <row r="270" spans="1:28" s="60" customFormat="1" outlineLevel="1" x14ac:dyDescent="0.25">
      <c r="A270" s="61">
        <v>300</v>
      </c>
      <c r="B270" s="61">
        <v>325</v>
      </c>
      <c r="C270" s="81">
        <v>0</v>
      </c>
      <c r="D270" s="81">
        <v>0</v>
      </c>
      <c r="E270" s="81">
        <v>0</v>
      </c>
      <c r="F270" s="81">
        <v>0</v>
      </c>
      <c r="G270" s="64">
        <f t="shared" si="43"/>
        <v>68.599999999999994</v>
      </c>
      <c r="H270" s="64">
        <f>G270*0.7</f>
        <v>48.019999999999996</v>
      </c>
      <c r="I270" s="64">
        <f t="shared" si="44"/>
        <v>49.890909090909091</v>
      </c>
      <c r="J270" s="64">
        <f>I270*0.7</f>
        <v>34.923636363636362</v>
      </c>
      <c r="K270" s="348">
        <f t="shared" si="45"/>
        <v>0</v>
      </c>
      <c r="L270" s="348">
        <f t="shared" si="45"/>
        <v>0</v>
      </c>
      <c r="M270" s="348">
        <f t="shared" si="45"/>
        <v>0</v>
      </c>
      <c r="N270" s="348">
        <f t="shared" si="45"/>
        <v>0</v>
      </c>
      <c r="O270" s="358" t="s">
        <v>48</v>
      </c>
      <c r="P270" s="24" t="s">
        <v>48</v>
      </c>
      <c r="Q270" s="45"/>
    </row>
    <row r="271" spans="1:28" s="60" customFormat="1" outlineLevel="1" x14ac:dyDescent="0.25">
      <c r="A271" s="61">
        <v>350</v>
      </c>
      <c r="B271" s="61">
        <v>377</v>
      </c>
      <c r="C271" s="81">
        <v>0</v>
      </c>
      <c r="D271" s="81">
        <v>0</v>
      </c>
      <c r="E271" s="81">
        <v>0</v>
      </c>
      <c r="F271" s="81">
        <v>0</v>
      </c>
      <c r="G271" s="64">
        <f t="shared" si="43"/>
        <v>75.2</v>
      </c>
      <c r="H271" s="64">
        <f t="shared" ref="H271:H277" si="46">G271*0.8</f>
        <v>60.160000000000004</v>
      </c>
      <c r="I271" s="64">
        <f t="shared" si="44"/>
        <v>54.690909090909088</v>
      </c>
      <c r="J271" s="64">
        <f t="shared" ref="J271:J279" si="47">I271*0.8</f>
        <v>43.75272727272727</v>
      </c>
      <c r="K271" s="348">
        <f t="shared" si="45"/>
        <v>0</v>
      </c>
      <c r="L271" s="348">
        <f t="shared" si="45"/>
        <v>0</v>
      </c>
      <c r="M271" s="348">
        <f t="shared" si="45"/>
        <v>0</v>
      </c>
      <c r="N271" s="348">
        <f t="shared" si="45"/>
        <v>0</v>
      </c>
      <c r="O271" s="358" t="s">
        <v>48</v>
      </c>
      <c r="P271" s="24" t="s">
        <v>48</v>
      </c>
      <c r="Q271" s="45"/>
    </row>
    <row r="272" spans="1:28" s="60" customFormat="1" outlineLevel="1" x14ac:dyDescent="0.25">
      <c r="A272" s="61">
        <v>400</v>
      </c>
      <c r="B272" s="61">
        <v>426</v>
      </c>
      <c r="C272" s="81">
        <v>0</v>
      </c>
      <c r="D272" s="81">
        <v>0</v>
      </c>
      <c r="E272" s="81">
        <v>0</v>
      </c>
      <c r="F272" s="81">
        <v>0</v>
      </c>
      <c r="G272" s="64">
        <f t="shared" si="43"/>
        <v>79</v>
      </c>
      <c r="H272" s="64">
        <f t="shared" si="46"/>
        <v>63.2</v>
      </c>
      <c r="I272" s="64">
        <f t="shared" si="44"/>
        <v>57.454545454545453</v>
      </c>
      <c r="J272" s="64">
        <f t="shared" si="47"/>
        <v>45.963636363636368</v>
      </c>
      <c r="K272" s="348">
        <f t="shared" si="45"/>
        <v>0</v>
      </c>
      <c r="L272" s="348">
        <f t="shared" si="45"/>
        <v>0</v>
      </c>
      <c r="M272" s="348">
        <f t="shared" si="45"/>
        <v>0</v>
      </c>
      <c r="N272" s="348">
        <f t="shared" si="45"/>
        <v>0</v>
      </c>
      <c r="O272" s="358" t="s">
        <v>48</v>
      </c>
      <c r="P272" s="24" t="s">
        <v>48</v>
      </c>
      <c r="Q272" s="45"/>
    </row>
    <row r="273" spans="1:28" s="60" customFormat="1" outlineLevel="1" x14ac:dyDescent="0.25">
      <c r="A273" s="61">
        <v>450</v>
      </c>
      <c r="B273" s="61">
        <v>478</v>
      </c>
      <c r="C273" s="81">
        <v>0</v>
      </c>
      <c r="D273" s="81">
        <v>0</v>
      </c>
      <c r="E273" s="81">
        <v>0</v>
      </c>
      <c r="F273" s="81">
        <v>0</v>
      </c>
      <c r="G273" s="64">
        <f t="shared" si="43"/>
        <v>84.2</v>
      </c>
      <c r="H273" s="64">
        <f t="shared" si="46"/>
        <v>67.36</v>
      </c>
      <c r="I273" s="64">
        <f t="shared" si="44"/>
        <v>61.236363636363635</v>
      </c>
      <c r="J273" s="64">
        <f t="shared" si="47"/>
        <v>48.989090909090912</v>
      </c>
      <c r="K273" s="348">
        <f t="shared" si="45"/>
        <v>0</v>
      </c>
      <c r="L273" s="348">
        <f t="shared" si="45"/>
        <v>0</v>
      </c>
      <c r="M273" s="348">
        <f t="shared" si="45"/>
        <v>0</v>
      </c>
      <c r="N273" s="348">
        <f t="shared" si="45"/>
        <v>0</v>
      </c>
      <c r="O273" s="358" t="s">
        <v>48</v>
      </c>
      <c r="P273" s="24" t="s">
        <v>48</v>
      </c>
      <c r="Q273" s="45"/>
    </row>
    <row r="274" spans="1:28" s="60" customFormat="1" outlineLevel="1" x14ac:dyDescent="0.25">
      <c r="A274" s="61">
        <v>500</v>
      </c>
      <c r="B274" s="61">
        <v>529</v>
      </c>
      <c r="C274" s="81">
        <v>0</v>
      </c>
      <c r="D274" s="81">
        <v>0</v>
      </c>
      <c r="E274" s="81">
        <v>0</v>
      </c>
      <c r="F274" s="81">
        <v>0</v>
      </c>
      <c r="G274" s="64">
        <f t="shared" si="43"/>
        <v>91.8</v>
      </c>
      <c r="H274" s="64">
        <f t="shared" si="46"/>
        <v>73.44</v>
      </c>
      <c r="I274" s="64">
        <f t="shared" si="44"/>
        <v>66.763636363636365</v>
      </c>
      <c r="J274" s="64">
        <f t="shared" si="47"/>
        <v>53.410909090909094</v>
      </c>
      <c r="K274" s="348">
        <f t="shared" si="45"/>
        <v>0</v>
      </c>
      <c r="L274" s="348">
        <f t="shared" si="45"/>
        <v>0</v>
      </c>
      <c r="M274" s="348">
        <f t="shared" si="45"/>
        <v>0</v>
      </c>
      <c r="N274" s="348">
        <f t="shared" si="45"/>
        <v>0</v>
      </c>
      <c r="O274" s="358" t="s">
        <v>48</v>
      </c>
      <c r="P274" s="24" t="s">
        <v>48</v>
      </c>
      <c r="Q274" s="45"/>
    </row>
    <row r="275" spans="1:28" s="60" customFormat="1" outlineLevel="1" x14ac:dyDescent="0.25">
      <c r="A275" s="61">
        <v>600</v>
      </c>
      <c r="B275" s="61">
        <v>630</v>
      </c>
      <c r="C275" s="81">
        <v>0</v>
      </c>
      <c r="D275" s="81">
        <v>0</v>
      </c>
      <c r="E275" s="81">
        <v>0</v>
      </c>
      <c r="F275" s="81">
        <v>0</v>
      </c>
      <c r="G275" s="64">
        <f t="shared" si="43"/>
        <v>101.4</v>
      </c>
      <c r="H275" s="64">
        <f t="shared" si="46"/>
        <v>81.12</v>
      </c>
      <c r="I275" s="64">
        <f t="shared" si="44"/>
        <v>73.74545454545455</v>
      </c>
      <c r="J275" s="64">
        <f t="shared" si="47"/>
        <v>58.99636363636364</v>
      </c>
      <c r="K275" s="348">
        <f t="shared" si="45"/>
        <v>0</v>
      </c>
      <c r="L275" s="348">
        <f t="shared" si="45"/>
        <v>0</v>
      </c>
      <c r="M275" s="348">
        <f t="shared" si="45"/>
        <v>0</v>
      </c>
      <c r="N275" s="348">
        <f t="shared" si="45"/>
        <v>0</v>
      </c>
      <c r="O275" s="358" t="s">
        <v>48</v>
      </c>
      <c r="P275" s="24" t="s">
        <v>48</v>
      </c>
      <c r="Q275" s="45"/>
    </row>
    <row r="276" spans="1:28" s="60" customFormat="1" outlineLevel="1" x14ac:dyDescent="0.25">
      <c r="A276" s="61">
        <v>700</v>
      </c>
      <c r="B276" s="61">
        <v>720</v>
      </c>
      <c r="C276" s="81">
        <v>0</v>
      </c>
      <c r="D276" s="81">
        <v>0</v>
      </c>
      <c r="E276" s="81">
        <v>0</v>
      </c>
      <c r="F276" s="81">
        <v>0</v>
      </c>
      <c r="G276" s="64">
        <f t="shared" si="43"/>
        <v>108.4</v>
      </c>
      <c r="H276" s="64">
        <f t="shared" si="46"/>
        <v>86.720000000000013</v>
      </c>
      <c r="I276" s="64">
        <f t="shared" si="44"/>
        <v>78.836363636363643</v>
      </c>
      <c r="J276" s="64">
        <f t="shared" si="47"/>
        <v>63.069090909090917</v>
      </c>
      <c r="K276" s="348">
        <f t="shared" si="45"/>
        <v>0</v>
      </c>
      <c r="L276" s="348">
        <f t="shared" si="45"/>
        <v>0</v>
      </c>
      <c r="M276" s="348">
        <f t="shared" si="45"/>
        <v>0</v>
      </c>
      <c r="N276" s="348">
        <f t="shared" si="45"/>
        <v>0</v>
      </c>
      <c r="O276" s="358" t="s">
        <v>48</v>
      </c>
      <c r="P276" s="24" t="s">
        <v>48</v>
      </c>
      <c r="Q276" s="45"/>
    </row>
    <row r="277" spans="1:28" s="60" customFormat="1" outlineLevel="1" x14ac:dyDescent="0.25">
      <c r="A277" s="61">
        <v>800</v>
      </c>
      <c r="B277" s="61">
        <v>820</v>
      </c>
      <c r="C277" s="81">
        <v>0</v>
      </c>
      <c r="D277" s="81">
        <v>0</v>
      </c>
      <c r="E277" s="81">
        <v>0</v>
      </c>
      <c r="F277" s="81">
        <v>0</v>
      </c>
      <c r="G277" s="64">
        <f t="shared" si="43"/>
        <v>121.6</v>
      </c>
      <c r="H277" s="64">
        <f t="shared" si="46"/>
        <v>97.28</v>
      </c>
      <c r="I277" s="64">
        <f t="shared" si="44"/>
        <v>88.436363636363637</v>
      </c>
      <c r="J277" s="64">
        <f t="shared" si="47"/>
        <v>70.74909090909091</v>
      </c>
      <c r="K277" s="348">
        <f t="shared" si="45"/>
        <v>0</v>
      </c>
      <c r="L277" s="348">
        <f t="shared" si="45"/>
        <v>0</v>
      </c>
      <c r="M277" s="348">
        <f t="shared" si="45"/>
        <v>0</v>
      </c>
      <c r="N277" s="348">
        <f t="shared" si="45"/>
        <v>0</v>
      </c>
      <c r="O277" s="358" t="s">
        <v>48</v>
      </c>
      <c r="P277" s="24" t="s">
        <v>48</v>
      </c>
      <c r="Q277" s="45"/>
    </row>
    <row r="278" spans="1:28" s="60" customFormat="1" outlineLevel="1" x14ac:dyDescent="0.25">
      <c r="A278" s="61">
        <v>900</v>
      </c>
      <c r="B278" s="61">
        <v>920</v>
      </c>
      <c r="C278" s="81">
        <v>0</v>
      </c>
      <c r="D278" s="81">
        <v>0</v>
      </c>
      <c r="E278" s="81">
        <v>0</v>
      </c>
      <c r="F278" s="81">
        <v>0</v>
      </c>
      <c r="G278" s="64"/>
      <c r="H278" s="64"/>
      <c r="I278" s="64"/>
      <c r="J278" s="64">
        <f t="shared" si="47"/>
        <v>0</v>
      </c>
      <c r="K278" s="348">
        <f t="shared" si="45"/>
        <v>0</v>
      </c>
      <c r="L278" s="348">
        <f t="shared" si="45"/>
        <v>0</v>
      </c>
      <c r="M278" s="348">
        <f t="shared" si="45"/>
        <v>0</v>
      </c>
      <c r="N278" s="348">
        <f t="shared" si="45"/>
        <v>0</v>
      </c>
      <c r="O278" s="358" t="s">
        <v>48</v>
      </c>
      <c r="P278" s="24" t="s">
        <v>48</v>
      </c>
      <c r="Q278" s="45"/>
    </row>
    <row r="279" spans="1:28" s="60" customFormat="1" outlineLevel="1" x14ac:dyDescent="0.25">
      <c r="A279" s="61">
        <v>1000</v>
      </c>
      <c r="B279" s="61">
        <v>1020</v>
      </c>
      <c r="C279" s="81">
        <v>0</v>
      </c>
      <c r="D279" s="81">
        <v>0</v>
      </c>
      <c r="E279" s="81">
        <v>0</v>
      </c>
      <c r="F279" s="81">
        <v>0</v>
      </c>
      <c r="G279" s="64"/>
      <c r="H279" s="64"/>
      <c r="I279" s="64"/>
      <c r="J279" s="64">
        <f t="shared" si="47"/>
        <v>0</v>
      </c>
      <c r="K279" s="348">
        <f t="shared" si="45"/>
        <v>0</v>
      </c>
      <c r="L279" s="348">
        <f t="shared" si="45"/>
        <v>0</v>
      </c>
      <c r="M279" s="348">
        <f t="shared" si="45"/>
        <v>0</v>
      </c>
      <c r="N279" s="348">
        <f t="shared" si="45"/>
        <v>0</v>
      </c>
      <c r="O279" s="358" t="s">
        <v>48</v>
      </c>
      <c r="P279" s="24" t="s">
        <v>48</v>
      </c>
      <c r="Q279" s="45"/>
    </row>
    <row r="280" spans="1:28" s="38" customFormat="1" ht="46.5" customHeight="1" x14ac:dyDescent="0.25">
      <c r="A280" s="496" t="s">
        <v>63</v>
      </c>
      <c r="B280" s="497"/>
      <c r="C280" s="36">
        <f>SUM(C260:C279)</f>
        <v>0</v>
      </c>
      <c r="D280" s="36">
        <f>SUM(D260:D279)</f>
        <v>0</v>
      </c>
      <c r="E280" s="36">
        <f>SUM(E260:E279)</f>
        <v>0</v>
      </c>
      <c r="F280" s="36">
        <f>SUM(F260:F279)</f>
        <v>0</v>
      </c>
      <c r="G280" s="23">
        <f>IF(C280=0,0,SUMPRODUCT(C260:C279,G260:G279)/C280)</f>
        <v>0</v>
      </c>
      <c r="H280" s="23">
        <f>IF(D280=0,0,SUMPRODUCT(D260:D279,H260:H279)/D280)</f>
        <v>0</v>
      </c>
      <c r="I280" s="23">
        <f>IF(E280=0,0,SUMPRODUCT(E260:E279,I260:I279)/E280)</f>
        <v>0</v>
      </c>
      <c r="J280" s="23">
        <f>IF(F280=0,0,SUMPRODUCT(F260:F279,J260:J279)/F280)</f>
        <v>0</v>
      </c>
      <c r="K280" s="350">
        <f>SUM(K260:K279)</f>
        <v>0</v>
      </c>
      <c r="L280" s="350">
        <f>SUM(L260:L279)</f>
        <v>0</v>
      </c>
      <c r="M280" s="350">
        <f>SUM(M260:M279)</f>
        <v>0</v>
      </c>
      <c r="N280" s="350">
        <f>SUM(N260:N279)</f>
        <v>0</v>
      </c>
      <c r="O280" s="353" t="s">
        <v>48</v>
      </c>
      <c r="P280" s="25" t="s">
        <v>48</v>
      </c>
      <c r="Q280" s="37"/>
    </row>
    <row r="281" spans="1:28" s="62" customFormat="1" ht="33.75" customHeight="1" x14ac:dyDescent="0.25">
      <c r="A281" s="501" t="s">
        <v>71</v>
      </c>
      <c r="B281" s="501"/>
      <c r="C281" s="501"/>
      <c r="D281" s="501"/>
      <c r="E281" s="501"/>
      <c r="F281" s="501"/>
      <c r="G281" s="501"/>
      <c r="H281" s="501"/>
      <c r="I281" s="501"/>
      <c r="J281" s="501"/>
      <c r="K281" s="501"/>
      <c r="L281" s="501"/>
      <c r="M281" s="501"/>
      <c r="N281" s="501"/>
      <c r="O281" s="501"/>
      <c r="P281" s="501"/>
      <c r="Q281" s="82"/>
    </row>
    <row r="282" spans="1:28" s="32" customFormat="1" ht="93" customHeight="1" x14ac:dyDescent="0.25">
      <c r="A282" s="32" t="s">
        <v>30</v>
      </c>
      <c r="B282" s="32" t="s">
        <v>31</v>
      </c>
      <c r="C282" s="32" t="s">
        <v>58</v>
      </c>
      <c r="D282" s="32" t="s">
        <v>59</v>
      </c>
      <c r="E282" s="32" t="s">
        <v>60</v>
      </c>
      <c r="F282" s="32" t="s">
        <v>61</v>
      </c>
      <c r="G282" s="32" t="s">
        <v>34</v>
      </c>
      <c r="H282" s="32" t="s">
        <v>35</v>
      </c>
      <c r="I282" s="32" t="s">
        <v>36</v>
      </c>
      <c r="J282" s="32" t="s">
        <v>37</v>
      </c>
      <c r="K282" s="352" t="s">
        <v>38</v>
      </c>
      <c r="L282" s="352" t="s">
        <v>39</v>
      </c>
      <c r="M282" s="352" t="s">
        <v>40</v>
      </c>
      <c r="N282" s="352" t="s">
        <v>41</v>
      </c>
      <c r="O282" s="353" t="s">
        <v>42</v>
      </c>
      <c r="P282" s="25" t="s">
        <v>43</v>
      </c>
      <c r="Q282" s="29"/>
      <c r="R282" s="30"/>
      <c r="S282" s="30"/>
      <c r="T282" s="30"/>
      <c r="U282" s="30"/>
      <c r="V282" s="30"/>
      <c r="W282" s="30"/>
      <c r="X282" s="30"/>
      <c r="Y282" s="30"/>
      <c r="Z282" s="30"/>
      <c r="AA282" s="30"/>
      <c r="AB282" s="31"/>
    </row>
    <row r="283" spans="1:28" s="30" customFormat="1" ht="14.25" x14ac:dyDescent="0.25">
      <c r="A283" s="33" t="s">
        <v>44</v>
      </c>
      <c r="B283" s="33" t="s">
        <v>44</v>
      </c>
      <c r="C283" s="33" t="s">
        <v>45</v>
      </c>
      <c r="D283" s="33" t="s">
        <v>45</v>
      </c>
      <c r="E283" s="33" t="s">
        <v>45</v>
      </c>
      <c r="F283" s="33" t="s">
        <v>45</v>
      </c>
      <c r="G283" s="33" t="s">
        <v>46</v>
      </c>
      <c r="H283" s="33" t="s">
        <v>46</v>
      </c>
      <c r="I283" s="33" t="s">
        <v>46</v>
      </c>
      <c r="J283" s="33" t="s">
        <v>46</v>
      </c>
      <c r="K283" s="346" t="s">
        <v>17</v>
      </c>
      <c r="L283" s="346" t="s">
        <v>17</v>
      </c>
      <c r="M283" s="346" t="s">
        <v>17</v>
      </c>
      <c r="N283" s="346" t="s">
        <v>17</v>
      </c>
      <c r="O283" s="347"/>
      <c r="P283" s="34"/>
      <c r="Q283" s="35"/>
    </row>
    <row r="284" spans="1:28" s="60" customFormat="1" outlineLevel="1" x14ac:dyDescent="0.25">
      <c r="A284" s="61">
        <v>25</v>
      </c>
      <c r="B284" s="61">
        <v>32</v>
      </c>
      <c r="C284" s="81">
        <v>0</v>
      </c>
      <c r="D284" s="81">
        <v>0</v>
      </c>
      <c r="E284" s="81">
        <v>0</v>
      </c>
      <c r="F284" s="81">
        <v>0</v>
      </c>
      <c r="G284" s="64">
        <f>(IF($I$35-$I$37&gt;$X$8,X9+(Y9-X9)*($I$35-$I$37-$X$8)/($Y$8-$X$8),W9+(X9-W9)*($I$35-$I$37-$W$8)/($X$8-$W$8)))/1.163</f>
        <v>13.852332637268148</v>
      </c>
      <c r="H284" s="64">
        <f>G284*0.5</f>
        <v>6.9261663186340741</v>
      </c>
      <c r="I284" s="64">
        <f>(IF($I$36-$I$37&gt;$X$8,X9+(Y9-X9)*($I$36-$I$37-$X$8)/($Y$8-$X$8),W9+(X9-W9)*($I$36-$I$37-$W$8)/($X$8-$W$8)))/1.163</f>
        <v>10.756889816975802</v>
      </c>
      <c r="J284" s="64">
        <f>I284*0.5</f>
        <v>5.3784449084879009</v>
      </c>
      <c r="K284" s="348">
        <f t="shared" ref="K284:N290" si="48">C284*G284*$I$39*1.2/1000000*24</f>
        <v>0</v>
      </c>
      <c r="L284" s="348">
        <f t="shared" si="48"/>
        <v>0</v>
      </c>
      <c r="M284" s="348">
        <f t="shared" si="48"/>
        <v>0</v>
      </c>
      <c r="N284" s="348">
        <f t="shared" si="48"/>
        <v>0</v>
      </c>
      <c r="O284" s="358" t="s">
        <v>48</v>
      </c>
      <c r="P284" s="24" t="s">
        <v>48</v>
      </c>
      <c r="Q284" s="45"/>
    </row>
    <row r="285" spans="1:28" s="60" customFormat="1" outlineLevel="1" x14ac:dyDescent="0.25">
      <c r="A285" s="61">
        <v>40</v>
      </c>
      <c r="B285" s="61">
        <v>45</v>
      </c>
      <c r="C285" s="81">
        <v>0</v>
      </c>
      <c r="D285" s="81">
        <v>0</v>
      </c>
      <c r="E285" s="81">
        <v>0</v>
      </c>
      <c r="F285" s="81">
        <v>0</v>
      </c>
      <c r="G285" s="64">
        <f>(IF($I$35-$I$37&gt;$X$8,X10+(Y10-X10)*($I$35-$I$37-$X$8)/($Y$8-$X$8),W10+(X10-W10)*($I$35-$I$37-$W$8)/($X$8-$W$8)))/1.163</f>
        <v>16.01774720550301</v>
      </c>
      <c r="H285" s="64">
        <f>G285*0.5</f>
        <v>8.0088736027515051</v>
      </c>
      <c r="I285" s="64">
        <f t="shared" ref="I285:I303" si="49">(IF($I$36-$I$37&gt;$X$8,X10+(Y10-X10)*($I$36-$I$37-$X$8)/($Y$8-$X$8),W10+(X10-W10)*($I$36-$I$37-$W$8)/($X$8-$W$8)))/1.163</f>
        <v>12.406397248495272</v>
      </c>
      <c r="J285" s="64">
        <f>I285*0.5</f>
        <v>6.2031986242476362</v>
      </c>
      <c r="K285" s="348">
        <f t="shared" si="48"/>
        <v>0</v>
      </c>
      <c r="L285" s="348">
        <f t="shared" si="48"/>
        <v>0</v>
      </c>
      <c r="M285" s="348">
        <f t="shared" si="48"/>
        <v>0</v>
      </c>
      <c r="N285" s="348">
        <f t="shared" si="48"/>
        <v>0</v>
      </c>
      <c r="O285" s="358" t="s">
        <v>48</v>
      </c>
      <c r="P285" s="24" t="s">
        <v>48</v>
      </c>
      <c r="Q285" s="45"/>
    </row>
    <row r="286" spans="1:28" s="60" customFormat="1" outlineLevel="1" x14ac:dyDescent="0.25">
      <c r="A286" s="61">
        <v>50</v>
      </c>
      <c r="B286" s="61">
        <v>57</v>
      </c>
      <c r="C286" s="81">
        <v>0</v>
      </c>
      <c r="D286" s="81">
        <v>0</v>
      </c>
      <c r="E286" s="81">
        <v>0</v>
      </c>
      <c r="F286" s="81">
        <v>0</v>
      </c>
      <c r="G286" s="64">
        <f t="shared" ref="G286:G303" si="50">(IF($I$35-$I$37&gt;$X$8,X11+(Y11-X11)*($I$35-$I$37-$X$8)/($Y$8-$X$8),W11+(X11-W11)*($I$35-$I$37-$W$8)/($X$8-$W$8)))/1.163</f>
        <v>17.73743766122098</v>
      </c>
      <c r="H286" s="64">
        <f>G286*0.5</f>
        <v>8.86871883061049</v>
      </c>
      <c r="I286" s="64">
        <f t="shared" si="49"/>
        <v>14.126087704213242</v>
      </c>
      <c r="J286" s="64">
        <f>I286*0.5</f>
        <v>7.0630438521066212</v>
      </c>
      <c r="K286" s="348">
        <f t="shared" si="48"/>
        <v>0</v>
      </c>
      <c r="L286" s="348">
        <f t="shared" si="48"/>
        <v>0</v>
      </c>
      <c r="M286" s="348">
        <f t="shared" si="48"/>
        <v>0</v>
      </c>
      <c r="N286" s="348">
        <f t="shared" si="48"/>
        <v>0</v>
      </c>
      <c r="O286" s="358" t="s">
        <v>48</v>
      </c>
      <c r="P286" s="24" t="s">
        <v>48</v>
      </c>
      <c r="Q286" s="45"/>
    </row>
    <row r="287" spans="1:28" s="60" customFormat="1" outlineLevel="1" x14ac:dyDescent="0.25">
      <c r="A287" s="61">
        <v>65</v>
      </c>
      <c r="B287" s="61">
        <v>76</v>
      </c>
      <c r="C287" s="81">
        <v>0</v>
      </c>
      <c r="D287" s="81">
        <v>0</v>
      </c>
      <c r="E287" s="81">
        <v>0</v>
      </c>
      <c r="F287" s="81">
        <v>0</v>
      </c>
      <c r="G287" s="64">
        <f t="shared" si="50"/>
        <v>20.125714285714285</v>
      </c>
      <c r="H287" s="64">
        <f>G287*0.5</f>
        <v>10.062857142857142</v>
      </c>
      <c r="I287" s="64">
        <f t="shared" si="49"/>
        <v>15.740503623633462</v>
      </c>
      <c r="J287" s="64">
        <f>I287*0.5</f>
        <v>7.8702518118167308</v>
      </c>
      <c r="K287" s="348">
        <f t="shared" si="48"/>
        <v>0</v>
      </c>
      <c r="L287" s="348">
        <f t="shared" si="48"/>
        <v>0</v>
      </c>
      <c r="M287" s="348">
        <f t="shared" si="48"/>
        <v>0</v>
      </c>
      <c r="N287" s="348">
        <f t="shared" si="48"/>
        <v>0</v>
      </c>
      <c r="O287" s="358" t="s">
        <v>48</v>
      </c>
      <c r="P287" s="24" t="s">
        <v>48</v>
      </c>
      <c r="Q287" s="45"/>
    </row>
    <row r="288" spans="1:28" s="60" customFormat="1" outlineLevel="1" x14ac:dyDescent="0.25">
      <c r="A288" s="61">
        <v>80</v>
      </c>
      <c r="B288" s="61">
        <v>89</v>
      </c>
      <c r="C288" s="81">
        <v>0</v>
      </c>
      <c r="D288" s="81">
        <v>0</v>
      </c>
      <c r="E288" s="81">
        <v>0</v>
      </c>
      <c r="F288" s="81">
        <v>0</v>
      </c>
      <c r="G288" s="64">
        <f t="shared" si="50"/>
        <v>22.068266797690701</v>
      </c>
      <c r="H288" s="64">
        <f>G288*0.6</f>
        <v>13.240960078614419</v>
      </c>
      <c r="I288" s="64">
        <f t="shared" si="49"/>
        <v>17.425102567252182</v>
      </c>
      <c r="J288" s="64">
        <f>I288*0.6</f>
        <v>10.455061540351309</v>
      </c>
      <c r="K288" s="348">
        <f t="shared" si="48"/>
        <v>0</v>
      </c>
      <c r="L288" s="348">
        <f t="shared" si="48"/>
        <v>0</v>
      </c>
      <c r="M288" s="348">
        <f t="shared" si="48"/>
        <v>0</v>
      </c>
      <c r="N288" s="348">
        <f t="shared" si="48"/>
        <v>0</v>
      </c>
      <c r="O288" s="358" t="s">
        <v>48</v>
      </c>
      <c r="P288" s="24" t="s">
        <v>48</v>
      </c>
      <c r="Q288" s="45"/>
    </row>
    <row r="289" spans="1:17" s="60" customFormat="1" outlineLevel="1" x14ac:dyDescent="0.25">
      <c r="A289" s="61">
        <v>100</v>
      </c>
      <c r="B289" s="61">
        <v>108</v>
      </c>
      <c r="C289" s="81">
        <v>0</v>
      </c>
      <c r="D289" s="81">
        <v>0</v>
      </c>
      <c r="E289" s="81">
        <v>0</v>
      </c>
      <c r="F289" s="81">
        <v>0</v>
      </c>
      <c r="G289" s="64">
        <f t="shared" si="50"/>
        <v>24.870664537526103</v>
      </c>
      <c r="H289" s="64">
        <f>G289*0.6</f>
        <v>14.922398722515661</v>
      </c>
      <c r="I289" s="64">
        <f t="shared" si="49"/>
        <v>19.969546738729889</v>
      </c>
      <c r="J289" s="64">
        <f>I289*0.6</f>
        <v>11.981728043237933</v>
      </c>
      <c r="K289" s="348">
        <f t="shared" si="48"/>
        <v>0</v>
      </c>
      <c r="L289" s="348">
        <f t="shared" si="48"/>
        <v>0</v>
      </c>
      <c r="M289" s="348">
        <f t="shared" si="48"/>
        <v>0</v>
      </c>
      <c r="N289" s="348">
        <f t="shared" si="48"/>
        <v>0</v>
      </c>
      <c r="O289" s="358" t="s">
        <v>48</v>
      </c>
      <c r="P289" s="24" t="s">
        <v>48</v>
      </c>
      <c r="Q289" s="45"/>
    </row>
    <row r="290" spans="1:17" s="60" customFormat="1" outlineLevel="1" x14ac:dyDescent="0.25">
      <c r="A290" s="61">
        <v>125</v>
      </c>
      <c r="B290" s="61">
        <v>133</v>
      </c>
      <c r="C290" s="81">
        <v>0</v>
      </c>
      <c r="D290" s="81">
        <v>0</v>
      </c>
      <c r="E290" s="81">
        <v>0</v>
      </c>
      <c r="F290" s="81">
        <v>0</v>
      </c>
      <c r="G290" s="64">
        <f t="shared" si="50"/>
        <v>28.118786389878395</v>
      </c>
      <c r="H290" s="64">
        <f>G290*0.6</f>
        <v>16.871271833927036</v>
      </c>
      <c r="I290" s="64">
        <f t="shared" si="49"/>
        <v>22.44380788600909</v>
      </c>
      <c r="J290" s="64">
        <f>I290*0.6</f>
        <v>13.466284731605453</v>
      </c>
      <c r="K290" s="348">
        <f t="shared" si="48"/>
        <v>0</v>
      </c>
      <c r="L290" s="348">
        <f t="shared" si="48"/>
        <v>0</v>
      </c>
      <c r="M290" s="348">
        <f t="shared" si="48"/>
        <v>0</v>
      </c>
      <c r="N290" s="348">
        <f t="shared" si="48"/>
        <v>0</v>
      </c>
      <c r="O290" s="358" t="s">
        <v>48</v>
      </c>
      <c r="P290" s="24" t="s">
        <v>48</v>
      </c>
      <c r="Q290" s="45"/>
    </row>
    <row r="291" spans="1:17" s="60" customFormat="1" outlineLevel="1" x14ac:dyDescent="0.25">
      <c r="A291" s="61">
        <v>150</v>
      </c>
      <c r="B291" s="61">
        <v>159</v>
      </c>
      <c r="C291" s="81">
        <v>0</v>
      </c>
      <c r="D291" s="81">
        <v>0</v>
      </c>
      <c r="E291" s="81">
        <v>0</v>
      </c>
      <c r="F291" s="81">
        <v>0</v>
      </c>
      <c r="G291" s="64">
        <f t="shared" si="50"/>
        <v>31.144046185972236</v>
      </c>
      <c r="H291" s="64">
        <f>G291*0.6</f>
        <v>18.686427711583342</v>
      </c>
      <c r="I291" s="64">
        <f t="shared" si="49"/>
        <v>24.953160545387544</v>
      </c>
      <c r="J291" s="64">
        <f>I291*0.6</f>
        <v>14.971896327232525</v>
      </c>
      <c r="K291" s="348">
        <f>C291*G291*$I$39*1.15/1000000*24</f>
        <v>0</v>
      </c>
      <c r="L291" s="348">
        <f>D291*H291*$I$39*1.15/1000000*24</f>
        <v>0</v>
      </c>
      <c r="M291" s="348">
        <f>E291*I291*$I$39*1.15/1000000*24</f>
        <v>0</v>
      </c>
      <c r="N291" s="348">
        <f>F291*J291*$I$39*1.15/1000000*24</f>
        <v>0</v>
      </c>
      <c r="O291" s="358" t="s">
        <v>48</v>
      </c>
      <c r="P291" s="24" t="s">
        <v>48</v>
      </c>
      <c r="Q291" s="45"/>
    </row>
    <row r="292" spans="1:17" s="60" customFormat="1" outlineLevel="1" x14ac:dyDescent="0.25">
      <c r="A292" s="61">
        <v>200</v>
      </c>
      <c r="B292" s="61">
        <v>219</v>
      </c>
      <c r="C292" s="81">
        <v>0</v>
      </c>
      <c r="D292" s="81">
        <v>0</v>
      </c>
      <c r="E292" s="81">
        <v>0</v>
      </c>
      <c r="F292" s="81">
        <v>0</v>
      </c>
      <c r="G292" s="64">
        <f t="shared" si="50"/>
        <v>38.054411006018917</v>
      </c>
      <c r="H292" s="64">
        <f>G292*0.7</f>
        <v>26.638087704213241</v>
      </c>
      <c r="I292" s="64">
        <f t="shared" si="49"/>
        <v>30.831711092003442</v>
      </c>
      <c r="J292" s="64">
        <f>I292*0.7</f>
        <v>21.582197764402409</v>
      </c>
      <c r="K292" s="348">
        <f t="shared" ref="K292:N303" si="51">C292*G292*$I$39*1.15/1000000*24</f>
        <v>0</v>
      </c>
      <c r="L292" s="348">
        <f t="shared" si="51"/>
        <v>0</v>
      </c>
      <c r="M292" s="348">
        <f t="shared" si="51"/>
        <v>0</v>
      </c>
      <c r="N292" s="348">
        <f t="shared" si="51"/>
        <v>0</v>
      </c>
      <c r="O292" s="358" t="s">
        <v>48</v>
      </c>
      <c r="P292" s="24" t="s">
        <v>48</v>
      </c>
      <c r="Q292" s="45"/>
    </row>
    <row r="293" spans="1:17" s="60" customFormat="1" outlineLevel="1" x14ac:dyDescent="0.25">
      <c r="A293" s="61">
        <v>250</v>
      </c>
      <c r="B293" s="61">
        <v>273</v>
      </c>
      <c r="C293" s="81">
        <v>0</v>
      </c>
      <c r="D293" s="81">
        <v>0</v>
      </c>
      <c r="E293" s="81">
        <v>0</v>
      </c>
      <c r="F293" s="81">
        <v>0</v>
      </c>
      <c r="G293" s="64">
        <f t="shared" si="50"/>
        <v>44.104930598206607</v>
      </c>
      <c r="H293" s="64">
        <f>G293*0.7</f>
        <v>30.873451418744622</v>
      </c>
      <c r="I293" s="64">
        <f t="shared" si="49"/>
        <v>35.850416410760353</v>
      </c>
      <c r="J293" s="64">
        <f>I293*0.7</f>
        <v>25.095291487532247</v>
      </c>
      <c r="K293" s="348">
        <f t="shared" si="51"/>
        <v>0</v>
      </c>
      <c r="L293" s="348">
        <f t="shared" si="51"/>
        <v>0</v>
      </c>
      <c r="M293" s="348">
        <f t="shared" si="51"/>
        <v>0</v>
      </c>
      <c r="N293" s="348">
        <f t="shared" si="51"/>
        <v>0</v>
      </c>
      <c r="O293" s="358" t="s">
        <v>48</v>
      </c>
      <c r="P293" s="24" t="s">
        <v>48</v>
      </c>
      <c r="Q293" s="45"/>
    </row>
    <row r="294" spans="1:17" s="60" customFormat="1" outlineLevel="1" x14ac:dyDescent="0.25">
      <c r="A294" s="61">
        <v>300</v>
      </c>
      <c r="B294" s="61">
        <v>325</v>
      </c>
      <c r="C294" s="81">
        <v>0</v>
      </c>
      <c r="D294" s="81">
        <v>0</v>
      </c>
      <c r="E294" s="81">
        <v>0</v>
      </c>
      <c r="F294" s="81">
        <v>0</v>
      </c>
      <c r="G294" s="64">
        <f t="shared" si="50"/>
        <v>49.932588134135855</v>
      </c>
      <c r="H294" s="64">
        <f>G294*0.7</f>
        <v>34.952811693895093</v>
      </c>
      <c r="I294" s="64">
        <f t="shared" si="49"/>
        <v>40.90421324161651</v>
      </c>
      <c r="J294" s="64">
        <f>I294*0.7</f>
        <v>28.632949269131554</v>
      </c>
      <c r="K294" s="348">
        <f t="shared" si="51"/>
        <v>0</v>
      </c>
      <c r="L294" s="348">
        <f t="shared" si="51"/>
        <v>0</v>
      </c>
      <c r="M294" s="348">
        <f t="shared" si="51"/>
        <v>0</v>
      </c>
      <c r="N294" s="348">
        <f t="shared" si="51"/>
        <v>0</v>
      </c>
      <c r="O294" s="358" t="s">
        <v>48</v>
      </c>
      <c r="P294" s="24" t="s">
        <v>48</v>
      </c>
      <c r="Q294" s="45"/>
    </row>
    <row r="295" spans="1:17" s="60" customFormat="1" outlineLevel="1" x14ac:dyDescent="0.25">
      <c r="A295" s="61">
        <v>350</v>
      </c>
      <c r="B295" s="61">
        <v>377</v>
      </c>
      <c r="C295" s="81">
        <v>0</v>
      </c>
      <c r="D295" s="81">
        <v>0</v>
      </c>
      <c r="E295" s="81">
        <v>0</v>
      </c>
      <c r="F295" s="81">
        <v>0</v>
      </c>
      <c r="G295" s="64">
        <f t="shared" si="50"/>
        <v>55.760245670065103</v>
      </c>
      <c r="H295" s="64">
        <f t="shared" ref="H295:H303" si="52">G295*0.8</f>
        <v>44.608196536052084</v>
      </c>
      <c r="I295" s="64">
        <f t="shared" si="49"/>
        <v>45.958010072472675</v>
      </c>
      <c r="J295" s="64">
        <f t="shared" ref="J295:J303" si="53">I295*0.8</f>
        <v>36.76640805797814</v>
      </c>
      <c r="K295" s="348">
        <f t="shared" si="51"/>
        <v>0</v>
      </c>
      <c r="L295" s="348">
        <f t="shared" si="51"/>
        <v>0</v>
      </c>
      <c r="M295" s="348">
        <f t="shared" si="51"/>
        <v>0</v>
      </c>
      <c r="N295" s="348">
        <f t="shared" si="51"/>
        <v>0</v>
      </c>
      <c r="O295" s="358" t="s">
        <v>48</v>
      </c>
      <c r="P295" s="24" t="s">
        <v>48</v>
      </c>
      <c r="Q295" s="45"/>
    </row>
    <row r="296" spans="1:17" s="60" customFormat="1" outlineLevel="1" x14ac:dyDescent="0.25">
      <c r="A296" s="61">
        <v>400</v>
      </c>
      <c r="B296" s="61">
        <v>426</v>
      </c>
      <c r="C296" s="81">
        <v>0</v>
      </c>
      <c r="D296" s="81">
        <v>0</v>
      </c>
      <c r="E296" s="81">
        <v>0</v>
      </c>
      <c r="F296" s="81">
        <v>0</v>
      </c>
      <c r="G296" s="64">
        <f t="shared" si="50"/>
        <v>61.587903205994351</v>
      </c>
      <c r="H296" s="64">
        <f t="shared" si="52"/>
        <v>49.270322564795485</v>
      </c>
      <c r="I296" s="64">
        <f t="shared" si="49"/>
        <v>51.011806903328825</v>
      </c>
      <c r="J296" s="64">
        <f t="shared" si="53"/>
        <v>40.809445522663061</v>
      </c>
      <c r="K296" s="348">
        <f t="shared" si="51"/>
        <v>0</v>
      </c>
      <c r="L296" s="348">
        <f t="shared" si="51"/>
        <v>0</v>
      </c>
      <c r="M296" s="348">
        <f t="shared" si="51"/>
        <v>0</v>
      </c>
      <c r="N296" s="348">
        <f t="shared" si="51"/>
        <v>0</v>
      </c>
      <c r="O296" s="358" t="s">
        <v>48</v>
      </c>
      <c r="P296" s="24" t="s">
        <v>48</v>
      </c>
      <c r="Q296" s="45"/>
    </row>
    <row r="297" spans="1:17" s="60" customFormat="1" outlineLevel="1" x14ac:dyDescent="0.25">
      <c r="A297" s="61">
        <v>450</v>
      </c>
      <c r="B297" s="61">
        <v>478</v>
      </c>
      <c r="C297" s="81">
        <v>0</v>
      </c>
      <c r="D297" s="81">
        <v>0</v>
      </c>
      <c r="E297" s="81">
        <v>0</v>
      </c>
      <c r="F297" s="81">
        <v>0</v>
      </c>
      <c r="G297" s="64">
        <f t="shared" si="50"/>
        <v>65.695870286205633</v>
      </c>
      <c r="H297" s="64">
        <f t="shared" si="52"/>
        <v>52.556696228964512</v>
      </c>
      <c r="I297" s="64">
        <f t="shared" si="49"/>
        <v>54.345913278467016</v>
      </c>
      <c r="J297" s="64">
        <f t="shared" si="53"/>
        <v>43.476730622773616</v>
      </c>
      <c r="K297" s="348">
        <f t="shared" si="51"/>
        <v>0</v>
      </c>
      <c r="L297" s="348">
        <f t="shared" si="51"/>
        <v>0</v>
      </c>
      <c r="M297" s="348">
        <f t="shared" si="51"/>
        <v>0</v>
      </c>
      <c r="N297" s="348">
        <f t="shared" si="51"/>
        <v>0</v>
      </c>
      <c r="O297" s="358" t="s">
        <v>48</v>
      </c>
      <c r="P297" s="24" t="s">
        <v>48</v>
      </c>
      <c r="Q297" s="45"/>
    </row>
    <row r="298" spans="1:17" s="60" customFormat="1" outlineLevel="1" x14ac:dyDescent="0.25">
      <c r="A298" s="61">
        <v>500</v>
      </c>
      <c r="B298" s="61">
        <v>529</v>
      </c>
      <c r="C298" s="81">
        <v>0</v>
      </c>
      <c r="D298" s="81">
        <v>0</v>
      </c>
      <c r="E298" s="81">
        <v>0</v>
      </c>
      <c r="F298" s="81">
        <v>0</v>
      </c>
      <c r="G298" s="64">
        <f t="shared" si="50"/>
        <v>71.746389878393316</v>
      </c>
      <c r="H298" s="64">
        <f t="shared" si="52"/>
        <v>57.397111902714656</v>
      </c>
      <c r="I298" s="64">
        <f t="shared" si="49"/>
        <v>59.364618597223931</v>
      </c>
      <c r="J298" s="64">
        <f t="shared" si="53"/>
        <v>47.491694877779146</v>
      </c>
      <c r="K298" s="348">
        <f t="shared" si="51"/>
        <v>0</v>
      </c>
      <c r="L298" s="348">
        <f t="shared" si="51"/>
        <v>0</v>
      </c>
      <c r="M298" s="348">
        <f t="shared" si="51"/>
        <v>0</v>
      </c>
      <c r="N298" s="348">
        <f t="shared" si="51"/>
        <v>0</v>
      </c>
      <c r="O298" s="358" t="s">
        <v>48</v>
      </c>
      <c r="P298" s="24" t="s">
        <v>48</v>
      </c>
      <c r="Q298" s="45"/>
    </row>
    <row r="299" spans="1:17" s="60" customFormat="1" outlineLevel="1" x14ac:dyDescent="0.25">
      <c r="A299" s="61">
        <v>600</v>
      </c>
      <c r="B299" s="61">
        <v>630</v>
      </c>
      <c r="C299" s="81">
        <v>0</v>
      </c>
      <c r="D299" s="81">
        <v>0</v>
      </c>
      <c r="E299" s="81">
        <v>0</v>
      </c>
      <c r="F299" s="81">
        <v>0</v>
      </c>
      <c r="G299" s="64">
        <f t="shared" si="50"/>
        <v>81.20468738484216</v>
      </c>
      <c r="H299" s="64">
        <f t="shared" si="52"/>
        <v>64.963749907873733</v>
      </c>
      <c r="I299" s="64">
        <f t="shared" si="49"/>
        <v>68.822916103672767</v>
      </c>
      <c r="J299" s="64">
        <f t="shared" si="53"/>
        <v>55.058332882938217</v>
      </c>
      <c r="K299" s="348">
        <f t="shared" si="51"/>
        <v>0</v>
      </c>
      <c r="L299" s="348">
        <f t="shared" si="51"/>
        <v>0</v>
      </c>
      <c r="M299" s="348">
        <f t="shared" si="51"/>
        <v>0</v>
      </c>
      <c r="N299" s="348">
        <f t="shared" si="51"/>
        <v>0</v>
      </c>
      <c r="O299" s="358" t="s">
        <v>48</v>
      </c>
      <c r="P299" s="24" t="s">
        <v>48</v>
      </c>
      <c r="Q299" s="45"/>
    </row>
    <row r="300" spans="1:17" s="60" customFormat="1" outlineLevel="1" x14ac:dyDescent="0.25">
      <c r="A300" s="61">
        <v>700</v>
      </c>
      <c r="B300" s="61">
        <v>720</v>
      </c>
      <c r="C300" s="81">
        <v>0</v>
      </c>
      <c r="D300" s="81">
        <v>0</v>
      </c>
      <c r="E300" s="81">
        <v>0</v>
      </c>
      <c r="F300" s="81">
        <v>0</v>
      </c>
      <c r="G300" s="64">
        <f t="shared" si="50"/>
        <v>92.254622282274909</v>
      </c>
      <c r="H300" s="64">
        <f t="shared" si="52"/>
        <v>73.803697825819924</v>
      </c>
      <c r="I300" s="64">
        <f t="shared" si="49"/>
        <v>77.03536174917086</v>
      </c>
      <c r="J300" s="64">
        <f t="shared" si="53"/>
        <v>61.628289399336694</v>
      </c>
      <c r="K300" s="348">
        <f t="shared" si="51"/>
        <v>0</v>
      </c>
      <c r="L300" s="348">
        <f t="shared" si="51"/>
        <v>0</v>
      </c>
      <c r="M300" s="348">
        <f t="shared" si="51"/>
        <v>0</v>
      </c>
      <c r="N300" s="348">
        <f t="shared" si="51"/>
        <v>0</v>
      </c>
      <c r="O300" s="358" t="s">
        <v>48</v>
      </c>
      <c r="P300" s="24" t="s">
        <v>48</v>
      </c>
      <c r="Q300" s="45"/>
    </row>
    <row r="301" spans="1:17" s="60" customFormat="1" outlineLevel="1" x14ac:dyDescent="0.25">
      <c r="A301" s="61">
        <v>800</v>
      </c>
      <c r="B301" s="61">
        <v>820</v>
      </c>
      <c r="C301" s="81">
        <v>0</v>
      </c>
      <c r="D301" s="81">
        <v>0</v>
      </c>
      <c r="E301" s="81">
        <v>0</v>
      </c>
      <c r="F301" s="81">
        <v>0</v>
      </c>
      <c r="G301" s="64">
        <f t="shared" si="50"/>
        <v>102.82723007001597</v>
      </c>
      <c r="H301" s="64">
        <f t="shared" si="52"/>
        <v>82.261784056012786</v>
      </c>
      <c r="I301" s="64">
        <f t="shared" si="49"/>
        <v>86.318201695123449</v>
      </c>
      <c r="J301" s="64">
        <f t="shared" si="53"/>
        <v>69.054561356098759</v>
      </c>
      <c r="K301" s="348">
        <f t="shared" si="51"/>
        <v>0</v>
      </c>
      <c r="L301" s="348">
        <f t="shared" si="51"/>
        <v>0</v>
      </c>
      <c r="M301" s="348">
        <f t="shared" si="51"/>
        <v>0</v>
      </c>
      <c r="N301" s="348">
        <f t="shared" si="51"/>
        <v>0</v>
      </c>
      <c r="O301" s="358" t="s">
        <v>48</v>
      </c>
      <c r="P301" s="24" t="s">
        <v>48</v>
      </c>
      <c r="Q301" s="45"/>
    </row>
    <row r="302" spans="1:17" s="60" customFormat="1" outlineLevel="1" x14ac:dyDescent="0.25">
      <c r="A302" s="61">
        <v>900</v>
      </c>
      <c r="B302" s="61">
        <v>920</v>
      </c>
      <c r="C302" s="81">
        <v>0</v>
      </c>
      <c r="D302" s="81">
        <v>0</v>
      </c>
      <c r="E302" s="81">
        <v>0</v>
      </c>
      <c r="F302" s="81">
        <v>0</v>
      </c>
      <c r="G302" s="64">
        <f t="shared" si="50"/>
        <v>112.98571674241492</v>
      </c>
      <c r="H302" s="64">
        <f t="shared" si="52"/>
        <v>90.388573393931949</v>
      </c>
      <c r="I302" s="64">
        <f t="shared" si="49"/>
        <v>94.671013389018555</v>
      </c>
      <c r="J302" s="64">
        <f t="shared" si="53"/>
        <v>75.736810711214844</v>
      </c>
      <c r="K302" s="348">
        <f t="shared" si="51"/>
        <v>0</v>
      </c>
      <c r="L302" s="348">
        <f t="shared" si="51"/>
        <v>0</v>
      </c>
      <c r="M302" s="348">
        <f t="shared" si="51"/>
        <v>0</v>
      </c>
      <c r="N302" s="348">
        <f>F302*J302*$I$39*1.15/1000000*24</f>
        <v>0</v>
      </c>
      <c r="O302" s="358" t="s">
        <v>48</v>
      </c>
      <c r="P302" s="24" t="s">
        <v>48</v>
      </c>
      <c r="Q302" s="45"/>
    </row>
    <row r="303" spans="1:17" s="60" customFormat="1" outlineLevel="1" x14ac:dyDescent="0.25">
      <c r="A303" s="61">
        <v>1000</v>
      </c>
      <c r="B303" s="61">
        <v>1020</v>
      </c>
      <c r="C303" s="81">
        <v>0</v>
      </c>
      <c r="D303" s="81">
        <v>0</v>
      </c>
      <c r="E303" s="81">
        <v>0</v>
      </c>
      <c r="F303" s="81">
        <v>0</v>
      </c>
      <c r="G303" s="64">
        <f t="shared" si="50"/>
        <v>123.78118658641444</v>
      </c>
      <c r="H303" s="64">
        <f t="shared" si="52"/>
        <v>99.024949269131554</v>
      </c>
      <c r="I303" s="64">
        <f t="shared" si="49"/>
        <v>103.91876182287189</v>
      </c>
      <c r="J303" s="64">
        <f t="shared" si="53"/>
        <v>83.135009458297517</v>
      </c>
      <c r="K303" s="348">
        <f t="shared" si="51"/>
        <v>0</v>
      </c>
      <c r="L303" s="348">
        <f t="shared" si="51"/>
        <v>0</v>
      </c>
      <c r="M303" s="348">
        <f t="shared" si="51"/>
        <v>0</v>
      </c>
      <c r="N303" s="348">
        <f t="shared" si="51"/>
        <v>0</v>
      </c>
      <c r="O303" s="358" t="s">
        <v>48</v>
      </c>
      <c r="P303" s="24" t="s">
        <v>48</v>
      </c>
      <c r="Q303" s="45"/>
    </row>
    <row r="304" spans="1:17" s="38" customFormat="1" ht="45.75" customHeight="1" thickBot="1" x14ac:dyDescent="0.3">
      <c r="A304" s="491" t="s">
        <v>49</v>
      </c>
      <c r="B304" s="492"/>
      <c r="C304" s="39">
        <f>SUM(C284:C303)</f>
        <v>0</v>
      </c>
      <c r="D304" s="39">
        <f>SUM(D284:D303)</f>
        <v>0</v>
      </c>
      <c r="E304" s="39">
        <f>SUM(E284:E303)</f>
        <v>0</v>
      </c>
      <c r="F304" s="39">
        <f>SUM(F284:F303)</f>
        <v>0</v>
      </c>
      <c r="G304" s="23">
        <f>IF(C304=0,0,SUMPRODUCT(C284:C303,G284:G303)/C304)</f>
        <v>0</v>
      </c>
      <c r="H304" s="23">
        <f>IF(D304=0,0,SUMPRODUCT(D284:D303,H284:H303)/D304)</f>
        <v>0</v>
      </c>
      <c r="I304" s="23">
        <f>IF(E304=0,0,SUMPRODUCT(E284:E303,I284:I303)/E304)</f>
        <v>0</v>
      </c>
      <c r="J304" s="23">
        <f>IF(F304=0,0,SUMPRODUCT(F284:F303,J284:J303)/F304)</f>
        <v>0</v>
      </c>
      <c r="K304" s="350">
        <f>SUM(K284:K303)</f>
        <v>0</v>
      </c>
      <c r="L304" s="350">
        <f>SUM(L284:L303)</f>
        <v>0</v>
      </c>
      <c r="M304" s="350">
        <f>SUM(M284:M303)</f>
        <v>0</v>
      </c>
      <c r="N304" s="350">
        <f>SUM(N284:N303)</f>
        <v>0</v>
      </c>
      <c r="O304" s="353" t="s">
        <v>48</v>
      </c>
      <c r="P304" s="25" t="s">
        <v>48</v>
      </c>
      <c r="Q304" s="37"/>
    </row>
    <row r="305" spans="1:24" ht="33" customHeight="1" thickBot="1" x14ac:dyDescent="0.3">
      <c r="A305" s="493" t="s">
        <v>64</v>
      </c>
      <c r="B305" s="494"/>
      <c r="C305" s="494"/>
      <c r="D305" s="494"/>
      <c r="E305" s="494"/>
      <c r="F305" s="495"/>
      <c r="G305" s="83">
        <f>K304+L304+M304+N304+K280+L280+M280+N280+K256+M256+N256+L256+K232+L232+M232+N232+K208+L208+M208+N208+K184+L184+M184+N184+K160+L160+M160+N160+K136+L136+M136+N136+K112+L112+M112+N112+K88+L88+M88+N88+K66+L66+M66+N66</f>
        <v>151.562251231142</v>
      </c>
      <c r="H305" s="63"/>
      <c r="I305" s="63"/>
      <c r="J305" s="63"/>
      <c r="K305" s="359"/>
      <c r="L305" s="359"/>
      <c r="M305" s="359"/>
      <c r="N305" s="359"/>
    </row>
    <row r="306" spans="1:24" x14ac:dyDescent="0.25">
      <c r="A306" s="63"/>
      <c r="B306" s="63"/>
      <c r="C306" s="63"/>
      <c r="D306" s="63"/>
      <c r="E306" s="63"/>
      <c r="F306" s="63"/>
      <c r="G306" s="63"/>
      <c r="H306" s="63"/>
      <c r="I306" s="63"/>
      <c r="J306" s="63"/>
      <c r="K306" s="359"/>
      <c r="L306" s="359"/>
      <c r="M306" s="359"/>
      <c r="N306" s="359"/>
    </row>
    <row r="307" spans="1:24" x14ac:dyDescent="0.25">
      <c r="A307" s="63"/>
      <c r="B307" s="63"/>
      <c r="C307" s="63"/>
      <c r="D307" s="63"/>
      <c r="E307" s="63"/>
      <c r="F307" s="63"/>
      <c r="G307" s="63"/>
      <c r="H307" s="63"/>
      <c r="I307" s="63"/>
      <c r="J307" s="63"/>
      <c r="K307" s="359"/>
      <c r="L307" s="359"/>
      <c r="M307" s="359"/>
      <c r="N307" s="359"/>
      <c r="O307" s="359"/>
      <c r="P307" s="63"/>
    </row>
    <row r="308" spans="1:24" s="40" customFormat="1" x14ac:dyDescent="0.25">
      <c r="A308" s="41"/>
      <c r="B308" s="41"/>
      <c r="C308" s="41"/>
      <c r="D308" s="84"/>
      <c r="E308" s="41"/>
      <c r="F308" s="41"/>
      <c r="G308" s="41"/>
      <c r="H308" s="41"/>
      <c r="I308" s="41"/>
      <c r="J308" s="41"/>
      <c r="K308" s="360"/>
      <c r="L308" s="360"/>
      <c r="M308" s="360"/>
      <c r="N308" s="360"/>
      <c r="O308" s="360"/>
      <c r="P308" s="41"/>
      <c r="Q308" s="41"/>
      <c r="R308" s="41"/>
      <c r="S308" s="41"/>
      <c r="T308" s="41"/>
      <c r="U308" s="41"/>
      <c r="V308" s="41"/>
      <c r="W308" s="41"/>
      <c r="X308" s="41"/>
    </row>
    <row r="309" spans="1:24" s="9" customFormat="1" x14ac:dyDescent="0.25">
      <c r="D309" s="3" t="s">
        <v>0</v>
      </c>
      <c r="E309" s="4"/>
      <c r="F309" s="4"/>
      <c r="G309" s="5"/>
      <c r="H309" s="6"/>
      <c r="I309" s="7"/>
      <c r="J309" s="4"/>
      <c r="K309" s="361"/>
      <c r="L309" s="361"/>
      <c r="M309" s="362"/>
      <c r="N309" s="362"/>
      <c r="O309" s="362"/>
      <c r="P309" s="10"/>
      <c r="Q309" s="10"/>
      <c r="R309" s="10"/>
      <c r="S309" s="10"/>
      <c r="T309" s="10"/>
      <c r="U309" s="10"/>
      <c r="V309" s="10"/>
      <c r="W309" s="10"/>
      <c r="X309" s="10"/>
    </row>
    <row r="310" spans="1:24" s="9" customFormat="1" x14ac:dyDescent="0.2">
      <c r="D310" s="8" t="s">
        <v>1</v>
      </c>
      <c r="E310" s="4"/>
      <c r="F310" s="4"/>
      <c r="G310" s="5"/>
      <c r="H310" s="6"/>
      <c r="I310" s="7"/>
      <c r="J310" s="4"/>
      <c r="K310" s="361"/>
      <c r="L310" s="361"/>
      <c r="M310" s="362"/>
      <c r="N310" s="362"/>
      <c r="O310" s="362"/>
      <c r="P310" s="10"/>
      <c r="Q310" s="10"/>
      <c r="R310" s="10"/>
      <c r="S310" s="10"/>
      <c r="T310" s="10"/>
      <c r="U310" s="10"/>
      <c r="V310" s="10"/>
      <c r="W310" s="10"/>
      <c r="X310" s="10"/>
    </row>
    <row r="311" spans="1:24" s="40" customFormat="1" x14ac:dyDescent="0.25">
      <c r="A311" s="41"/>
      <c r="B311" s="41"/>
      <c r="C311" s="41"/>
      <c r="D311" s="67"/>
      <c r="E311" s="85"/>
      <c r="F311" s="85"/>
      <c r="G311" s="86"/>
      <c r="H311" s="87"/>
      <c r="I311" s="88"/>
      <c r="J311" s="85"/>
      <c r="K311" s="363"/>
      <c r="L311" s="363"/>
      <c r="M311" s="360"/>
      <c r="N311" s="360"/>
      <c r="O311" s="360"/>
      <c r="P311" s="41"/>
      <c r="Q311" s="41"/>
      <c r="R311" s="41"/>
      <c r="S311" s="41"/>
      <c r="T311" s="41"/>
      <c r="U311" s="41"/>
      <c r="V311" s="41"/>
      <c r="W311" s="41"/>
      <c r="X311" s="41"/>
    </row>
    <row r="312" spans="1:24" s="40" customFormat="1" x14ac:dyDescent="0.25">
      <c r="A312" s="41"/>
      <c r="B312" s="41"/>
      <c r="C312" s="41"/>
      <c r="D312" s="67"/>
      <c r="E312" s="85"/>
      <c r="F312" s="85"/>
      <c r="G312" s="86"/>
      <c r="H312" s="87"/>
      <c r="I312" s="88"/>
      <c r="J312" s="85"/>
      <c r="K312" s="363"/>
      <c r="L312" s="363"/>
      <c r="M312" s="360"/>
      <c r="N312" s="360"/>
      <c r="O312" s="360"/>
      <c r="P312" s="41"/>
      <c r="Q312" s="41"/>
      <c r="R312" s="41"/>
      <c r="S312" s="41"/>
      <c r="T312" s="41"/>
      <c r="U312" s="41"/>
      <c r="V312" s="41"/>
      <c r="W312" s="41"/>
      <c r="X312" s="41"/>
    </row>
    <row r="313" spans="1:24" ht="12.75" customHeight="1" x14ac:dyDescent="0.25">
      <c r="A313" s="527"/>
      <c r="B313" s="527"/>
      <c r="C313" s="63"/>
      <c r="D313" s="63"/>
      <c r="E313" s="63"/>
      <c r="F313" s="63"/>
      <c r="G313" s="63"/>
      <c r="H313" s="63"/>
      <c r="I313" s="63"/>
      <c r="J313" s="63"/>
      <c r="K313" s="359"/>
      <c r="L313" s="359"/>
      <c r="M313" s="359"/>
      <c r="N313" s="359"/>
      <c r="O313" s="364"/>
      <c r="P313" s="47"/>
      <c r="Q313" s="47"/>
    </row>
    <row r="314" spans="1:24" x14ac:dyDescent="0.25">
      <c r="A314" s="63"/>
      <c r="B314" s="63"/>
      <c r="C314" s="63"/>
      <c r="D314" s="63"/>
      <c r="E314" s="63"/>
      <c r="F314" s="63"/>
      <c r="G314" s="63"/>
      <c r="H314" s="63"/>
      <c r="I314" s="63"/>
      <c r="J314" s="63"/>
      <c r="K314" s="359"/>
      <c r="L314" s="359"/>
      <c r="M314" s="359"/>
      <c r="N314" s="359"/>
      <c r="O314" s="364"/>
      <c r="P314" s="47"/>
      <c r="Q314" s="47"/>
    </row>
    <row r="315" spans="1:24" x14ac:dyDescent="0.25">
      <c r="A315" s="63"/>
      <c r="B315" s="63"/>
      <c r="C315" s="63"/>
      <c r="D315" s="63"/>
      <c r="E315" s="63"/>
      <c r="F315" s="63"/>
      <c r="G315" s="63"/>
      <c r="H315" s="63"/>
      <c r="I315" s="63"/>
      <c r="J315" s="63"/>
      <c r="K315" s="359"/>
      <c r="L315" s="359"/>
      <c r="M315" s="359"/>
      <c r="N315" s="359"/>
      <c r="O315" s="364"/>
      <c r="P315" s="47"/>
      <c r="Q315" s="47"/>
    </row>
    <row r="316" spans="1:24" x14ac:dyDescent="0.25">
      <c r="A316" s="63"/>
      <c r="B316" s="65"/>
      <c r="C316" s="63"/>
      <c r="D316" s="63"/>
      <c r="E316" s="63"/>
      <c r="F316" s="63"/>
      <c r="G316" s="63"/>
      <c r="H316" s="63"/>
      <c r="I316" s="63"/>
      <c r="J316" s="63"/>
      <c r="K316" s="359"/>
      <c r="L316" s="359"/>
      <c r="M316" s="359"/>
      <c r="N316" s="359"/>
      <c r="O316" s="364"/>
      <c r="P316" s="47"/>
      <c r="Q316" s="47"/>
    </row>
    <row r="317" spans="1:24" x14ac:dyDescent="0.25">
      <c r="A317" s="63"/>
      <c r="B317" s="65"/>
      <c r="C317" s="63"/>
      <c r="D317" s="63"/>
      <c r="E317" s="63"/>
      <c r="F317" s="63"/>
      <c r="G317" s="63"/>
      <c r="H317" s="63"/>
      <c r="I317" s="63"/>
      <c r="J317" s="63"/>
      <c r="K317" s="359"/>
      <c r="L317" s="359"/>
      <c r="M317" s="359"/>
      <c r="N317" s="359"/>
      <c r="O317" s="364"/>
      <c r="P317" s="47"/>
      <c r="Q317" s="47"/>
    </row>
    <row r="318" spans="1:24" x14ac:dyDescent="0.25">
      <c r="A318" s="63"/>
      <c r="B318" s="66"/>
      <c r="C318" s="63"/>
      <c r="D318" s="63"/>
      <c r="E318" s="63"/>
      <c r="F318" s="63"/>
      <c r="G318" s="63"/>
      <c r="H318" s="63"/>
      <c r="I318" s="63"/>
      <c r="J318" s="63"/>
      <c r="K318" s="359"/>
      <c r="L318" s="359"/>
      <c r="M318" s="359"/>
      <c r="N318" s="359"/>
      <c r="O318" s="364"/>
      <c r="P318" s="47"/>
      <c r="Q318" s="47"/>
    </row>
    <row r="319" spans="1:24" x14ac:dyDescent="0.25">
      <c r="A319" s="63"/>
      <c r="B319" s="63"/>
      <c r="C319" s="63"/>
      <c r="D319" s="63"/>
      <c r="E319" s="63"/>
      <c r="F319" s="63"/>
      <c r="G319" s="63"/>
      <c r="H319" s="63"/>
      <c r="I319" s="63"/>
      <c r="J319" s="63"/>
      <c r="K319" s="359"/>
      <c r="L319" s="359"/>
      <c r="M319" s="359"/>
      <c r="N319" s="359"/>
      <c r="O319" s="364"/>
      <c r="P319" s="47"/>
      <c r="Q319" s="47"/>
    </row>
    <row r="320" spans="1:24" x14ac:dyDescent="0.25">
      <c r="A320" s="63"/>
      <c r="B320" s="63"/>
      <c r="C320" s="63"/>
      <c r="D320" s="63"/>
      <c r="E320" s="63"/>
      <c r="F320" s="63"/>
      <c r="G320" s="63"/>
      <c r="H320" s="63"/>
      <c r="I320" s="63"/>
      <c r="J320" s="63"/>
      <c r="K320" s="359"/>
      <c r="L320" s="359"/>
      <c r="M320" s="359"/>
      <c r="N320" s="359"/>
      <c r="O320" s="364"/>
      <c r="P320" s="47"/>
      <c r="Q320" s="47"/>
    </row>
    <row r="321" spans="1:17" x14ac:dyDescent="0.25">
      <c r="A321" s="63"/>
      <c r="B321" s="63"/>
      <c r="C321" s="63"/>
      <c r="D321" s="63"/>
      <c r="E321" s="63"/>
      <c r="F321" s="63"/>
      <c r="G321" s="63"/>
      <c r="H321" s="63"/>
      <c r="I321" s="63"/>
      <c r="J321" s="63"/>
      <c r="K321" s="359"/>
      <c r="L321" s="359"/>
      <c r="M321" s="359"/>
      <c r="N321" s="359"/>
      <c r="O321" s="364"/>
      <c r="P321" s="47"/>
      <c r="Q321" s="47"/>
    </row>
    <row r="322" spans="1:17" x14ac:dyDescent="0.25">
      <c r="A322" s="63"/>
      <c r="B322" s="63"/>
      <c r="C322" s="63"/>
      <c r="D322" s="63"/>
      <c r="E322" s="63"/>
      <c r="F322" s="63"/>
      <c r="G322" s="63"/>
      <c r="H322" s="63"/>
      <c r="I322" s="63"/>
      <c r="J322" s="63"/>
      <c r="K322" s="359"/>
      <c r="L322" s="359"/>
      <c r="M322" s="359"/>
      <c r="N322" s="359"/>
      <c r="O322" s="364"/>
      <c r="P322" s="47"/>
      <c r="Q322" s="47"/>
    </row>
    <row r="323" spans="1:17" x14ac:dyDescent="0.25">
      <c r="A323" s="63"/>
      <c r="B323" s="63"/>
      <c r="C323" s="63"/>
      <c r="D323" s="63"/>
      <c r="E323" s="63"/>
      <c r="F323" s="63"/>
      <c r="G323" s="63"/>
      <c r="H323" s="63"/>
      <c r="I323" s="63"/>
      <c r="J323" s="63"/>
      <c r="K323" s="359"/>
      <c r="L323" s="359"/>
      <c r="M323" s="359"/>
      <c r="N323" s="359"/>
      <c r="O323" s="364"/>
      <c r="P323" s="47"/>
      <c r="Q323" s="47"/>
    </row>
    <row r="324" spans="1:17" x14ac:dyDescent="0.25">
      <c r="A324" s="63"/>
      <c r="B324" s="63"/>
      <c r="C324" s="63"/>
      <c r="D324" s="63"/>
      <c r="E324" s="63"/>
      <c r="F324" s="63"/>
      <c r="G324" s="63"/>
      <c r="H324" s="63"/>
      <c r="I324" s="63"/>
      <c r="J324" s="63"/>
      <c r="K324" s="359"/>
      <c r="L324" s="359"/>
      <c r="M324" s="359"/>
      <c r="N324" s="359"/>
      <c r="O324" s="364"/>
      <c r="P324" s="47"/>
      <c r="Q324" s="47"/>
    </row>
    <row r="325" spans="1:17" x14ac:dyDescent="0.25">
      <c r="A325" s="63"/>
      <c r="B325" s="63"/>
      <c r="C325" s="63"/>
      <c r="D325" s="63"/>
      <c r="E325" s="63"/>
      <c r="F325" s="63"/>
      <c r="G325" s="63"/>
      <c r="H325" s="63"/>
      <c r="I325" s="63"/>
      <c r="J325" s="63"/>
      <c r="K325" s="359"/>
      <c r="L325" s="359"/>
      <c r="M325" s="359"/>
      <c r="N325" s="359"/>
      <c r="O325" s="364"/>
      <c r="P325" s="47"/>
      <c r="Q325" s="47"/>
    </row>
    <row r="326" spans="1:17" x14ac:dyDescent="0.25">
      <c r="A326" s="63"/>
      <c r="B326" s="63"/>
      <c r="C326" s="63"/>
      <c r="D326" s="63"/>
      <c r="E326" s="63"/>
      <c r="F326" s="63"/>
      <c r="G326" s="63"/>
      <c r="H326" s="63"/>
      <c r="I326" s="63"/>
      <c r="J326" s="63"/>
      <c r="K326" s="359"/>
      <c r="L326" s="359"/>
      <c r="M326" s="359"/>
      <c r="N326" s="359"/>
      <c r="O326" s="364"/>
      <c r="P326" s="47"/>
      <c r="Q326" s="47"/>
    </row>
    <row r="327" spans="1:17" x14ac:dyDescent="0.25">
      <c r="A327" s="63"/>
      <c r="B327" s="63"/>
      <c r="C327" s="63"/>
      <c r="D327" s="63"/>
      <c r="E327" s="63"/>
      <c r="F327" s="63"/>
      <c r="G327" s="63"/>
      <c r="H327" s="63"/>
      <c r="I327" s="63"/>
      <c r="J327" s="63"/>
      <c r="K327" s="359"/>
      <c r="L327" s="359"/>
      <c r="M327" s="359"/>
      <c r="N327" s="359"/>
      <c r="O327" s="364"/>
      <c r="P327" s="47"/>
      <c r="Q327" s="47"/>
    </row>
    <row r="328" spans="1:17" x14ac:dyDescent="0.25">
      <c r="A328" s="63"/>
      <c r="B328" s="63"/>
      <c r="C328" s="63"/>
      <c r="D328" s="63"/>
      <c r="E328" s="63"/>
      <c r="F328" s="63"/>
      <c r="G328" s="63"/>
      <c r="H328" s="63"/>
      <c r="I328" s="63"/>
      <c r="J328" s="63"/>
      <c r="K328" s="359"/>
      <c r="L328" s="359"/>
      <c r="M328" s="359"/>
      <c r="N328" s="359"/>
      <c r="O328" s="364"/>
      <c r="P328" s="47"/>
      <c r="Q328" s="47"/>
    </row>
    <row r="329" spans="1:17" x14ac:dyDescent="0.25">
      <c r="A329" s="63"/>
      <c r="B329" s="63"/>
      <c r="C329" s="63"/>
      <c r="D329" s="63"/>
      <c r="E329" s="63"/>
      <c r="F329" s="63"/>
      <c r="G329" s="63"/>
      <c r="H329" s="63"/>
      <c r="I329" s="63"/>
      <c r="J329" s="63"/>
      <c r="K329" s="359"/>
      <c r="L329" s="359"/>
      <c r="M329" s="359"/>
      <c r="N329" s="359"/>
      <c r="O329" s="364"/>
      <c r="P329" s="47"/>
      <c r="Q329" s="47"/>
    </row>
    <row r="330" spans="1:17" x14ac:dyDescent="0.25">
      <c r="A330" s="63"/>
      <c r="B330" s="63"/>
      <c r="C330" s="63"/>
      <c r="D330" s="63"/>
      <c r="E330" s="63"/>
      <c r="F330" s="63"/>
      <c r="G330" s="63"/>
      <c r="H330" s="63"/>
      <c r="I330" s="63"/>
      <c r="J330" s="63"/>
      <c r="K330" s="359"/>
      <c r="L330" s="359"/>
      <c r="M330" s="359"/>
      <c r="N330" s="359"/>
      <c r="O330" s="364"/>
      <c r="P330" s="47"/>
      <c r="Q330" s="47"/>
    </row>
    <row r="331" spans="1:17" x14ac:dyDescent="0.25">
      <c r="A331" s="63"/>
      <c r="B331" s="63"/>
      <c r="C331" s="63"/>
      <c r="D331" s="63"/>
      <c r="E331" s="63"/>
      <c r="F331" s="63"/>
      <c r="G331" s="63"/>
      <c r="H331" s="63"/>
      <c r="I331" s="63"/>
      <c r="J331" s="63"/>
      <c r="K331" s="359"/>
      <c r="L331" s="359"/>
      <c r="M331" s="359"/>
      <c r="N331" s="359"/>
      <c r="O331" s="364"/>
      <c r="P331" s="47"/>
      <c r="Q331" s="47"/>
    </row>
    <row r="332" spans="1:17" x14ac:dyDescent="0.25">
      <c r="A332" s="63"/>
      <c r="B332" s="63"/>
      <c r="C332" s="63"/>
      <c r="D332" s="63"/>
      <c r="E332" s="63"/>
      <c r="F332" s="63"/>
      <c r="G332" s="63"/>
      <c r="H332" s="63"/>
      <c r="I332" s="63"/>
      <c r="J332" s="63"/>
      <c r="K332" s="359"/>
      <c r="L332" s="359"/>
      <c r="M332" s="359"/>
      <c r="N332" s="359"/>
      <c r="O332" s="364"/>
      <c r="P332" s="47"/>
      <c r="Q332" s="47"/>
    </row>
    <row r="333" spans="1:17" x14ac:dyDescent="0.25">
      <c r="A333" s="63"/>
      <c r="B333" s="63"/>
      <c r="C333" s="63"/>
      <c r="D333" s="63"/>
      <c r="E333" s="63"/>
      <c r="F333" s="63"/>
      <c r="G333" s="63"/>
      <c r="H333" s="63"/>
      <c r="I333" s="63"/>
      <c r="J333" s="63"/>
      <c r="K333" s="359"/>
      <c r="L333" s="359"/>
      <c r="M333" s="359"/>
      <c r="N333" s="359"/>
      <c r="O333" s="364"/>
      <c r="P333" s="47"/>
      <c r="Q333" s="47"/>
    </row>
    <row r="334" spans="1:17" x14ac:dyDescent="0.25">
      <c r="A334" s="63"/>
      <c r="B334" s="63"/>
      <c r="C334" s="63"/>
      <c r="D334" s="63"/>
      <c r="E334" s="63"/>
      <c r="F334" s="63"/>
      <c r="G334" s="63"/>
      <c r="H334" s="63"/>
      <c r="I334" s="63"/>
      <c r="J334" s="63"/>
      <c r="K334" s="359"/>
      <c r="L334" s="359"/>
      <c r="M334" s="359"/>
      <c r="N334" s="359"/>
      <c r="O334" s="364"/>
      <c r="P334" s="47"/>
      <c r="Q334" s="47"/>
    </row>
    <row r="335" spans="1:17" x14ac:dyDescent="0.25">
      <c r="A335" s="63"/>
      <c r="B335" s="63"/>
      <c r="C335" s="63"/>
      <c r="D335" s="63"/>
      <c r="E335" s="63"/>
      <c r="F335" s="63"/>
      <c r="G335" s="63"/>
      <c r="H335" s="63"/>
      <c r="I335" s="63"/>
      <c r="J335" s="63"/>
      <c r="K335" s="359"/>
      <c r="L335" s="359"/>
      <c r="M335" s="359"/>
      <c r="N335" s="359"/>
      <c r="O335" s="364"/>
      <c r="P335" s="47"/>
      <c r="Q335" s="47"/>
    </row>
    <row r="336" spans="1:17" x14ac:dyDescent="0.25">
      <c r="A336" s="63"/>
      <c r="B336" s="63"/>
      <c r="C336" s="63"/>
      <c r="D336" s="63"/>
      <c r="E336" s="63"/>
      <c r="F336" s="63"/>
      <c r="G336" s="63"/>
      <c r="H336" s="63"/>
      <c r="I336" s="63"/>
      <c r="J336" s="63"/>
      <c r="K336" s="359"/>
      <c r="L336" s="359"/>
      <c r="M336" s="359"/>
      <c r="N336" s="359"/>
      <c r="O336" s="364"/>
      <c r="P336" s="47"/>
      <c r="Q336" s="47"/>
    </row>
    <row r="337" spans="1:17" x14ac:dyDescent="0.25">
      <c r="A337" s="63"/>
      <c r="B337" s="63"/>
      <c r="C337" s="63"/>
      <c r="D337" s="63"/>
      <c r="E337" s="63"/>
      <c r="F337" s="63"/>
      <c r="G337" s="63"/>
      <c r="H337" s="63"/>
      <c r="I337" s="63"/>
      <c r="J337" s="63"/>
      <c r="K337" s="359"/>
      <c r="L337" s="359"/>
      <c r="M337" s="359"/>
      <c r="N337" s="359"/>
      <c r="O337" s="364"/>
      <c r="P337" s="47"/>
      <c r="Q337" s="47"/>
    </row>
    <row r="338" spans="1:17" x14ac:dyDescent="0.25">
      <c r="A338" s="63"/>
      <c r="B338" s="63"/>
      <c r="C338" s="63"/>
      <c r="D338" s="63"/>
      <c r="E338" s="63"/>
      <c r="F338" s="63"/>
      <c r="G338" s="63"/>
      <c r="H338" s="63"/>
      <c r="I338" s="63"/>
      <c r="J338" s="63"/>
      <c r="K338" s="359"/>
      <c r="L338" s="359"/>
      <c r="M338" s="359"/>
      <c r="N338" s="359"/>
      <c r="O338" s="364"/>
      <c r="P338" s="47"/>
      <c r="Q338" s="47"/>
    </row>
    <row r="339" spans="1:17" x14ac:dyDescent="0.25">
      <c r="A339" s="63"/>
      <c r="B339" s="63"/>
      <c r="C339" s="63"/>
      <c r="D339" s="63"/>
      <c r="E339" s="63"/>
      <c r="F339" s="63"/>
      <c r="G339" s="63"/>
      <c r="H339" s="63"/>
      <c r="I339" s="63"/>
      <c r="J339" s="63"/>
      <c r="K339" s="359"/>
      <c r="L339" s="359"/>
      <c r="M339" s="359"/>
      <c r="N339" s="359"/>
      <c r="O339" s="364"/>
      <c r="P339" s="47"/>
      <c r="Q339" s="47"/>
    </row>
    <row r="340" spans="1:17" x14ac:dyDescent="0.25">
      <c r="A340" s="63"/>
      <c r="B340" s="63"/>
      <c r="C340" s="63"/>
      <c r="D340" s="63"/>
      <c r="E340" s="63"/>
      <c r="F340" s="63"/>
      <c r="G340" s="63"/>
      <c r="H340" s="63"/>
      <c r="I340" s="63"/>
      <c r="J340" s="63"/>
      <c r="K340" s="359"/>
      <c r="L340" s="359"/>
      <c r="M340" s="359"/>
      <c r="N340" s="359"/>
      <c r="O340" s="364"/>
      <c r="P340" s="47"/>
      <c r="Q340" s="47"/>
    </row>
  </sheetData>
  <mergeCells count="92">
    <mergeCell ref="CQ31:CT37"/>
    <mergeCell ref="E114:F136"/>
    <mergeCell ref="E210:F232"/>
    <mergeCell ref="I210:J232"/>
    <mergeCell ref="M210:N232"/>
    <mergeCell ref="I114:J136"/>
    <mergeCell ref="M114:N136"/>
    <mergeCell ref="E138:F160"/>
    <mergeCell ref="A209:P209"/>
    <mergeCell ref="E162:F184"/>
    <mergeCell ref="A41:H41"/>
    <mergeCell ref="K41:O41"/>
    <mergeCell ref="A42:H42"/>
    <mergeCell ref="A160:B160"/>
    <mergeCell ref="A43:P43"/>
    <mergeCell ref="A66:B66"/>
    <mergeCell ref="E44:F66"/>
    <mergeCell ref="P44:P66"/>
    <mergeCell ref="I44:J66"/>
    <mergeCell ref="M44:N66"/>
    <mergeCell ref="A313:B313"/>
    <mergeCell ref="A67:P67"/>
    <mergeCell ref="A88:B88"/>
    <mergeCell ref="A89:P89"/>
    <mergeCell ref="A112:B112"/>
    <mergeCell ref="A208:B208"/>
    <mergeCell ref="A185:P185"/>
    <mergeCell ref="A113:P113"/>
    <mergeCell ref="A136:B136"/>
    <mergeCell ref="I162:J184"/>
    <mergeCell ref="A257:P257"/>
    <mergeCell ref="A281:P281"/>
    <mergeCell ref="E68:F88"/>
    <mergeCell ref="I68:J88"/>
    <mergeCell ref="P68:P88"/>
    <mergeCell ref="I186:J208"/>
    <mergeCell ref="P210:P232"/>
    <mergeCell ref="P186:P208"/>
    <mergeCell ref="P162:P184"/>
    <mergeCell ref="M186:N208"/>
    <mergeCell ref="M68:N88"/>
    <mergeCell ref="A256:B256"/>
    <mergeCell ref="A184:B184"/>
    <mergeCell ref="P90:P112"/>
    <mergeCell ref="P138:P160"/>
    <mergeCell ref="E90:F112"/>
    <mergeCell ref="I90:J112"/>
    <mergeCell ref="M90:N112"/>
    <mergeCell ref="I138:J160"/>
    <mergeCell ref="M138:N160"/>
    <mergeCell ref="A304:B304"/>
    <mergeCell ref="A305:F305"/>
    <mergeCell ref="A280:B280"/>
    <mergeCell ref="P114:P136"/>
    <mergeCell ref="A232:B232"/>
    <mergeCell ref="A233:P233"/>
    <mergeCell ref="A137:P137"/>
    <mergeCell ref="A161:P161"/>
    <mergeCell ref="M162:N184"/>
    <mergeCell ref="E186:F208"/>
    <mergeCell ref="A40:H40"/>
    <mergeCell ref="K40:O40"/>
    <mergeCell ref="A38:H38"/>
    <mergeCell ref="K38:O38"/>
    <mergeCell ref="A39:H39"/>
    <mergeCell ref="K39:O39"/>
    <mergeCell ref="A34:H34"/>
    <mergeCell ref="K34:O34"/>
    <mergeCell ref="A32:H32"/>
    <mergeCell ref="K32:O32"/>
    <mergeCell ref="A33:H33"/>
    <mergeCell ref="K33:O33"/>
    <mergeCell ref="A35:H35"/>
    <mergeCell ref="K35:O35"/>
    <mergeCell ref="A37:H37"/>
    <mergeCell ref="A36:H36"/>
    <mergeCell ref="K36:O36"/>
    <mergeCell ref="K37:O37"/>
    <mergeCell ref="A1:P1"/>
    <mergeCell ref="C6:I6"/>
    <mergeCell ref="J6:Y6"/>
    <mergeCell ref="A3:J3"/>
    <mergeCell ref="W7:Y7"/>
    <mergeCell ref="S7:V7"/>
    <mergeCell ref="A30:H30"/>
    <mergeCell ref="I30:J30"/>
    <mergeCell ref="A31:H31"/>
    <mergeCell ref="K31:O31"/>
    <mergeCell ref="C7:F7"/>
    <mergeCell ref="G7:J7"/>
    <mergeCell ref="K7:M7"/>
    <mergeCell ref="N7:R7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41" fitToHeight="2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="80" zoomScaleNormal="80" workbookViewId="0">
      <selection activeCell="G32" sqref="G32"/>
    </sheetView>
  </sheetViews>
  <sheetFormatPr defaultRowHeight="15" x14ac:dyDescent="0.25"/>
  <cols>
    <col min="1" max="1" width="9.140625" style="173" customWidth="1"/>
    <col min="2" max="2" width="46.28515625" style="130" customWidth="1"/>
    <col min="3" max="3" width="19.42578125" customWidth="1"/>
    <col min="4" max="4" width="14.140625" customWidth="1"/>
    <col min="5" max="5" width="13.42578125" customWidth="1"/>
    <col min="6" max="6" width="13" customWidth="1"/>
    <col min="7" max="7" width="15" customWidth="1"/>
    <col min="8" max="8" width="14.85546875" customWidth="1"/>
    <col min="9" max="9" width="16.42578125" customWidth="1"/>
  </cols>
  <sheetData>
    <row r="1" spans="1:11" ht="15.75" thickBot="1" x14ac:dyDescent="0.3">
      <c r="B1" s="130" t="s">
        <v>483</v>
      </c>
    </row>
    <row r="2" spans="1:11" ht="37.5" customHeight="1" thickBot="1" x14ac:dyDescent="0.3">
      <c r="A2" s="541" t="s">
        <v>156</v>
      </c>
      <c r="B2" s="546" t="s">
        <v>458</v>
      </c>
      <c r="C2" s="547"/>
      <c r="D2" s="543" t="s">
        <v>154</v>
      </c>
      <c r="E2" s="544"/>
      <c r="F2" s="545"/>
      <c r="G2" s="543" t="s">
        <v>165</v>
      </c>
      <c r="H2" s="544"/>
      <c r="I2" s="545"/>
    </row>
    <row r="3" spans="1:11" ht="60.75" thickBot="1" x14ac:dyDescent="0.3">
      <c r="A3" s="542"/>
      <c r="B3" s="159" t="s">
        <v>103</v>
      </c>
      <c r="C3" s="158" t="s">
        <v>104</v>
      </c>
      <c r="D3" s="160" t="s">
        <v>155</v>
      </c>
      <c r="E3" s="157" t="s">
        <v>118</v>
      </c>
      <c r="F3" s="158" t="s">
        <v>105</v>
      </c>
      <c r="G3" s="160" t="s">
        <v>155</v>
      </c>
      <c r="H3" s="157" t="s">
        <v>118</v>
      </c>
      <c r="I3" s="158" t="s">
        <v>105</v>
      </c>
    </row>
    <row r="4" spans="1:11" ht="15.75" thickBot="1" x14ac:dyDescent="0.3">
      <c r="A4" s="161">
        <v>1</v>
      </c>
      <c r="B4" s="154">
        <v>2</v>
      </c>
      <c r="C4" s="156">
        <v>3</v>
      </c>
      <c r="D4" s="154">
        <v>4</v>
      </c>
      <c r="E4" s="155">
        <v>5</v>
      </c>
      <c r="F4" s="156">
        <v>6</v>
      </c>
      <c r="G4" s="154">
        <v>7</v>
      </c>
      <c r="H4" s="155">
        <v>8</v>
      </c>
      <c r="I4" s="156">
        <v>9</v>
      </c>
    </row>
    <row r="5" spans="1:11" ht="15" customHeight="1" x14ac:dyDescent="0.25">
      <c r="A5" s="174">
        <v>1</v>
      </c>
      <c r="B5" s="372" t="s">
        <v>150</v>
      </c>
      <c r="C5" s="114" t="s">
        <v>45</v>
      </c>
      <c r="D5" s="418"/>
      <c r="E5" s="317">
        <v>0.42499999999999999</v>
      </c>
      <c r="F5" s="318"/>
      <c r="G5" s="317"/>
      <c r="H5" s="317">
        <v>0.4</v>
      </c>
      <c r="I5" s="318"/>
      <c r="J5" s="548"/>
      <c r="K5" s="553"/>
    </row>
    <row r="6" spans="1:11" x14ac:dyDescent="0.25">
      <c r="A6" s="175">
        <v>2</v>
      </c>
      <c r="B6" s="373" t="s">
        <v>151</v>
      </c>
      <c r="C6" s="115" t="s">
        <v>45</v>
      </c>
      <c r="D6" s="419"/>
      <c r="E6" s="319">
        <v>0.42499999999999999</v>
      </c>
      <c r="F6" s="320"/>
      <c r="G6" s="317"/>
      <c r="H6" s="317">
        <v>0.4</v>
      </c>
      <c r="I6" s="320"/>
      <c r="J6" s="548"/>
      <c r="K6" s="553"/>
    </row>
    <row r="7" spans="1:11" hidden="1" x14ac:dyDescent="0.25">
      <c r="A7" s="175"/>
      <c r="B7" s="373" t="s">
        <v>152</v>
      </c>
      <c r="C7" s="115" t="s">
        <v>45</v>
      </c>
      <c r="D7" s="420"/>
      <c r="E7" s="102"/>
      <c r="F7" s="127"/>
      <c r="G7" s="138">
        <f>D7</f>
        <v>0</v>
      </c>
      <c r="H7" s="102"/>
      <c r="I7" s="127"/>
      <c r="J7" s="377"/>
      <c r="K7" s="377"/>
    </row>
    <row r="8" spans="1:11" ht="30" hidden="1" x14ac:dyDescent="0.25">
      <c r="A8" s="175"/>
      <c r="B8" s="373" t="s">
        <v>153</v>
      </c>
      <c r="C8" s="115" t="s">
        <v>45</v>
      </c>
      <c r="D8" s="420"/>
      <c r="E8" s="102"/>
      <c r="F8" s="127"/>
      <c r="G8" s="138">
        <f>D8</f>
        <v>0</v>
      </c>
      <c r="H8" s="102"/>
      <c r="I8" s="127"/>
      <c r="J8" s="377"/>
      <c r="K8" s="377"/>
    </row>
    <row r="9" spans="1:11" ht="30.75" thickBot="1" x14ac:dyDescent="0.3">
      <c r="A9" s="176">
        <v>3</v>
      </c>
      <c r="B9" s="374" t="s">
        <v>106</v>
      </c>
      <c r="C9" s="118" t="s">
        <v>45</v>
      </c>
      <c r="D9" s="421"/>
      <c r="E9" s="321">
        <v>1.5</v>
      </c>
      <c r="F9" s="118" t="s">
        <v>107</v>
      </c>
      <c r="G9" s="321"/>
      <c r="H9" s="321">
        <v>1.5</v>
      </c>
      <c r="I9" s="118" t="s">
        <v>107</v>
      </c>
      <c r="J9" s="377"/>
      <c r="K9" s="377"/>
    </row>
    <row r="10" spans="1:11" ht="45.75" hidden="1" thickBot="1" x14ac:dyDescent="0.3">
      <c r="A10" s="177"/>
      <c r="B10" s="375" t="s">
        <v>133</v>
      </c>
      <c r="C10" s="442" t="s">
        <v>45</v>
      </c>
      <c r="D10" s="422">
        <f>D9+D33/(10+6.03*SQRT(5))</f>
        <v>0.10901275791758099</v>
      </c>
      <c r="E10" s="137">
        <f>E9+E33/(10+6.03*SQRT(5))</f>
        <v>1.5</v>
      </c>
      <c r="F10" s="111" t="s">
        <v>107</v>
      </c>
      <c r="G10" s="327">
        <f>G9+G33/(10+6.03*SQRT(5))</f>
        <v>0</v>
      </c>
      <c r="H10" s="137">
        <f>H9+H33/(10+6.03*SQRT(5))</f>
        <v>1.5638746628423326</v>
      </c>
      <c r="I10" s="111" t="s">
        <v>107</v>
      </c>
      <c r="J10" s="377"/>
      <c r="K10" s="377"/>
    </row>
    <row r="11" spans="1:11" x14ac:dyDescent="0.25">
      <c r="A11" s="178">
        <v>4</v>
      </c>
      <c r="B11" s="376" t="s">
        <v>108</v>
      </c>
      <c r="C11" s="114" t="s">
        <v>45</v>
      </c>
      <c r="D11" s="423"/>
      <c r="E11" s="113" t="s">
        <v>107</v>
      </c>
      <c r="F11" s="114" t="s">
        <v>107</v>
      </c>
      <c r="G11" s="322"/>
      <c r="H11" s="113" t="s">
        <v>107</v>
      </c>
      <c r="I11" s="114" t="s">
        <v>107</v>
      </c>
      <c r="J11" s="551"/>
      <c r="K11" s="552"/>
    </row>
    <row r="12" spans="1:11" x14ac:dyDescent="0.25">
      <c r="A12" s="175">
        <v>5</v>
      </c>
      <c r="B12" s="373" t="s">
        <v>109</v>
      </c>
      <c r="C12" s="115" t="s">
        <v>45</v>
      </c>
      <c r="D12" s="419"/>
      <c r="E12" s="101" t="s">
        <v>107</v>
      </c>
      <c r="F12" s="115" t="s">
        <v>107</v>
      </c>
      <c r="G12" s="319"/>
      <c r="H12" s="101" t="s">
        <v>107</v>
      </c>
      <c r="I12" s="115" t="s">
        <v>107</v>
      </c>
      <c r="J12" s="551"/>
      <c r="K12" s="552"/>
    </row>
    <row r="13" spans="1:11" ht="15.75" thickBot="1" x14ac:dyDescent="0.3">
      <c r="A13" s="176">
        <v>6</v>
      </c>
      <c r="B13" s="374" t="s">
        <v>110</v>
      </c>
      <c r="C13" s="118" t="s">
        <v>45</v>
      </c>
      <c r="D13" s="424"/>
      <c r="E13" s="116" t="s">
        <v>107</v>
      </c>
      <c r="F13" s="118" t="s">
        <v>107</v>
      </c>
      <c r="G13" s="323"/>
      <c r="H13" s="116" t="s">
        <v>107</v>
      </c>
      <c r="I13" s="118" t="s">
        <v>107</v>
      </c>
      <c r="J13" s="551"/>
      <c r="K13" s="552"/>
    </row>
    <row r="14" spans="1:11" ht="30.75" thickBot="1" x14ac:dyDescent="0.3">
      <c r="A14" s="178">
        <v>7</v>
      </c>
      <c r="B14" s="132" t="s">
        <v>136</v>
      </c>
      <c r="C14" s="114" t="s">
        <v>45</v>
      </c>
      <c r="D14" s="425" t="s">
        <v>107</v>
      </c>
      <c r="E14" s="322">
        <v>0.1</v>
      </c>
      <c r="F14" s="114"/>
      <c r="G14" s="113" t="s">
        <v>107</v>
      </c>
      <c r="H14" s="322">
        <v>0.1</v>
      </c>
      <c r="I14" s="114"/>
    </row>
    <row r="15" spans="1:11" ht="30.75" hidden="1" thickBot="1" x14ac:dyDescent="0.3">
      <c r="A15" s="175"/>
      <c r="B15" s="133" t="s">
        <v>137</v>
      </c>
      <c r="C15" s="115" t="s">
        <v>45</v>
      </c>
      <c r="D15" s="426" t="s">
        <v>107</v>
      </c>
      <c r="E15" s="102"/>
      <c r="F15" s="115"/>
      <c r="G15" s="101" t="s">
        <v>107</v>
      </c>
      <c r="H15" s="102"/>
      <c r="I15" s="115"/>
    </row>
    <row r="16" spans="1:11" ht="30.75" hidden="1" thickBot="1" x14ac:dyDescent="0.3">
      <c r="A16" s="176"/>
      <c r="B16" s="134" t="s">
        <v>138</v>
      </c>
      <c r="C16" s="118" t="s">
        <v>45</v>
      </c>
      <c r="D16" s="427" t="s">
        <v>107</v>
      </c>
      <c r="E16" s="128"/>
      <c r="F16" s="118"/>
      <c r="G16" s="116" t="s">
        <v>107</v>
      </c>
      <c r="H16" s="128"/>
      <c r="I16" s="118"/>
    </row>
    <row r="17" spans="1:9" ht="15.75" hidden="1" thickBot="1" x14ac:dyDescent="0.3">
      <c r="A17" s="179"/>
      <c r="B17" s="135" t="s">
        <v>121</v>
      </c>
      <c r="C17" s="443" t="s">
        <v>45</v>
      </c>
      <c r="D17" s="428">
        <f>IF((D11+D12)=0,0,2*D11*D12/(D11+D12))</f>
        <v>0</v>
      </c>
      <c r="E17" s="105" t="s">
        <v>107</v>
      </c>
      <c r="F17" s="105" t="s">
        <v>107</v>
      </c>
      <c r="G17" s="139">
        <f>IF((G11+G12)=0,0,2*G11*G12/(G11+G12))</f>
        <v>0</v>
      </c>
      <c r="H17" s="105" t="s">
        <v>107</v>
      </c>
      <c r="I17" s="105" t="s">
        <v>107</v>
      </c>
    </row>
    <row r="18" spans="1:9" ht="15.75" hidden="1" thickBot="1" x14ac:dyDescent="0.3">
      <c r="A18" s="180"/>
      <c r="B18" s="133" t="s">
        <v>120</v>
      </c>
      <c r="C18" s="115" t="s">
        <v>45</v>
      </c>
      <c r="D18" s="429">
        <f>IF((D11+D12+D13*2+D13*2)=0,0,2*(D11+D13)*(D12+D13)/(D11+D12+2*D13+2*D13))</f>
        <v>0</v>
      </c>
      <c r="E18" s="101" t="s">
        <v>107</v>
      </c>
      <c r="F18" s="101" t="s">
        <v>107</v>
      </c>
      <c r="G18" s="108">
        <f>IF((G11+G12+G13*2+G13*2)=0,0,2*(G11+G13)*(G12+G13)/(G11+G12+2*G13+2*G13))</f>
        <v>0</v>
      </c>
      <c r="H18" s="101" t="s">
        <v>107</v>
      </c>
      <c r="I18" s="101" t="s">
        <v>107</v>
      </c>
    </row>
    <row r="19" spans="1:9" ht="30.75" hidden="1" thickBot="1" x14ac:dyDescent="0.3">
      <c r="A19" s="180"/>
      <c r="B19" s="133" t="s">
        <v>122</v>
      </c>
      <c r="C19" s="115" t="s">
        <v>126</v>
      </c>
      <c r="D19" s="429">
        <f>IF(D43=0,0,1.2/D43)</f>
        <v>0</v>
      </c>
      <c r="E19" s="101" t="s">
        <v>107</v>
      </c>
      <c r="F19" s="101" t="s">
        <v>107</v>
      </c>
      <c r="G19" s="108">
        <f>IF(G43=0,0,1.2/G43)</f>
        <v>0</v>
      </c>
      <c r="H19" s="101" t="s">
        <v>107</v>
      </c>
      <c r="I19" s="101" t="s">
        <v>107</v>
      </c>
    </row>
    <row r="20" spans="1:9" ht="15.75" hidden="1" thickBot="1" x14ac:dyDescent="0.3">
      <c r="A20" s="180"/>
      <c r="B20" s="133" t="s">
        <v>123</v>
      </c>
      <c r="C20" s="115" t="s">
        <v>126</v>
      </c>
      <c r="D20" s="429">
        <f>IF(D44=0,0,1.2/D44)</f>
        <v>0</v>
      </c>
      <c r="E20" s="101" t="s">
        <v>107</v>
      </c>
      <c r="F20" s="101" t="s">
        <v>107</v>
      </c>
      <c r="G20" s="108">
        <f>IF(G44=0,0,1.2/G44)</f>
        <v>0</v>
      </c>
      <c r="H20" s="101" t="s">
        <v>107</v>
      </c>
      <c r="I20" s="101" t="s">
        <v>107</v>
      </c>
    </row>
    <row r="21" spans="1:9" ht="15.75" hidden="1" thickBot="1" x14ac:dyDescent="0.3">
      <c r="A21" s="180"/>
      <c r="B21" s="133" t="s">
        <v>124</v>
      </c>
      <c r="C21" s="115" t="s">
        <v>126</v>
      </c>
      <c r="D21" s="429">
        <f>IF(D45=0,0,1.2/D45)</f>
        <v>0</v>
      </c>
      <c r="E21" s="101" t="s">
        <v>107</v>
      </c>
      <c r="F21" s="101" t="s">
        <v>107</v>
      </c>
      <c r="G21" s="108">
        <f>IF(G45=0,0,1.2/G45)</f>
        <v>0</v>
      </c>
      <c r="H21" s="101" t="s">
        <v>107</v>
      </c>
      <c r="I21" s="101" t="s">
        <v>107</v>
      </c>
    </row>
    <row r="22" spans="1:9" ht="30.75" hidden="1" thickBot="1" x14ac:dyDescent="0.3">
      <c r="A22" s="180"/>
      <c r="B22" s="133" t="s">
        <v>125</v>
      </c>
      <c r="C22" s="115" t="s">
        <v>126</v>
      </c>
      <c r="D22" s="429">
        <f>IF(D46=0,0,1.2/D46)</f>
        <v>0</v>
      </c>
      <c r="E22" s="101" t="s">
        <v>107</v>
      </c>
      <c r="F22" s="101" t="s">
        <v>107</v>
      </c>
      <c r="G22" s="108">
        <f>IF(G46=0,0,1.2/G46)</f>
        <v>0</v>
      </c>
      <c r="H22" s="101" t="s">
        <v>107</v>
      </c>
      <c r="I22" s="101" t="s">
        <v>107</v>
      </c>
    </row>
    <row r="23" spans="1:9" ht="15.75" hidden="1" thickBot="1" x14ac:dyDescent="0.3">
      <c r="A23" s="181"/>
      <c r="B23" s="131" t="s">
        <v>127</v>
      </c>
      <c r="C23" s="121" t="s">
        <v>126</v>
      </c>
      <c r="D23" s="430" t="e">
        <f>IF(D47=0,0,1/D47)</f>
        <v>#VALUE!</v>
      </c>
      <c r="E23" s="104"/>
      <c r="F23" s="104" t="s">
        <v>107</v>
      </c>
      <c r="G23" s="140" t="e">
        <f>IF(G47=0,0,1/G47)</f>
        <v>#VALUE!</v>
      </c>
      <c r="H23" s="104"/>
      <c r="I23" s="104" t="s">
        <v>107</v>
      </c>
    </row>
    <row r="24" spans="1:9" ht="30" x14ac:dyDescent="0.25">
      <c r="A24" s="178">
        <v>8</v>
      </c>
      <c r="B24" s="132" t="s">
        <v>111</v>
      </c>
      <c r="C24" s="114" t="s">
        <v>100</v>
      </c>
      <c r="D24" s="431">
        <f>'норм втрати'!$I$32</f>
        <v>8.3859436455176404</v>
      </c>
      <c r="E24" s="122">
        <f>'норм втрати'!$I$32</f>
        <v>8.3859436455176404</v>
      </c>
      <c r="F24" s="123">
        <f>'норм втрати'!$I$32</f>
        <v>8.3859436455176404</v>
      </c>
      <c r="G24" s="122">
        <f>'норм втрати'!$I$32</f>
        <v>8.3859436455176404</v>
      </c>
      <c r="H24" s="122">
        <f>'норм втрати'!$I$32</f>
        <v>8.3859436455176404</v>
      </c>
      <c r="I24" s="123">
        <f>'норм втрати'!$I$32</f>
        <v>8.3859436455176404</v>
      </c>
    </row>
    <row r="25" spans="1:9" x14ac:dyDescent="0.25">
      <c r="A25" s="175">
        <v>9</v>
      </c>
      <c r="B25" s="133" t="s">
        <v>112</v>
      </c>
      <c r="C25" s="115" t="s">
        <v>100</v>
      </c>
      <c r="D25" s="432">
        <f>'норм втрати'!$I$33</f>
        <v>8.3859436455176404</v>
      </c>
      <c r="E25" s="103">
        <f>'норм втрати'!$I$33</f>
        <v>8.3859436455176404</v>
      </c>
      <c r="F25" s="124">
        <f>'норм втрати'!$I$33</f>
        <v>8.3859436455176404</v>
      </c>
      <c r="G25" s="103">
        <f>'норм втрати'!$I$33</f>
        <v>8.3859436455176404</v>
      </c>
      <c r="H25" s="103">
        <f>'норм втрати'!$I$33</f>
        <v>8.3859436455176404</v>
      </c>
      <c r="I25" s="124">
        <f>'норм втрати'!$I$33</f>
        <v>8.3859436455176404</v>
      </c>
    </row>
    <row r="26" spans="1:9" hidden="1" x14ac:dyDescent="0.25">
      <c r="A26" s="256"/>
      <c r="B26" s="133" t="s">
        <v>84</v>
      </c>
      <c r="C26" s="115" t="s">
        <v>100</v>
      </c>
      <c r="D26" s="426"/>
      <c r="E26" s="101"/>
      <c r="F26" s="115"/>
      <c r="G26" s="101"/>
      <c r="H26" s="101"/>
      <c r="I26" s="115"/>
    </row>
    <row r="27" spans="1:9" hidden="1" x14ac:dyDescent="0.25">
      <c r="A27" s="256"/>
      <c r="B27" s="133" t="s">
        <v>85</v>
      </c>
      <c r="C27" s="115" t="s">
        <v>100</v>
      </c>
      <c r="D27" s="426"/>
      <c r="E27" s="101"/>
      <c r="F27" s="115"/>
      <c r="G27" s="101"/>
      <c r="H27" s="101"/>
      <c r="I27" s="115"/>
    </row>
    <row r="28" spans="1:9" x14ac:dyDescent="0.25">
      <c r="A28" s="175">
        <v>10</v>
      </c>
      <c r="B28" s="133" t="s">
        <v>86</v>
      </c>
      <c r="C28" s="115" t="s">
        <v>100</v>
      </c>
      <c r="D28" s="426" t="s">
        <v>107</v>
      </c>
      <c r="E28" s="101" t="s">
        <v>107</v>
      </c>
      <c r="F28" s="124">
        <f>'норм втрати'!I37</f>
        <v>0.54057142857142848</v>
      </c>
      <c r="G28" s="101" t="s">
        <v>107</v>
      </c>
      <c r="H28" s="101" t="s">
        <v>107</v>
      </c>
      <c r="I28" s="124">
        <f>'норм втрати'!I37</f>
        <v>0.54057142857142848</v>
      </c>
    </row>
    <row r="29" spans="1:9" x14ac:dyDescent="0.25">
      <c r="A29" s="175">
        <v>11</v>
      </c>
      <c r="B29" s="133" t="s">
        <v>113</v>
      </c>
      <c r="C29" s="115" t="s">
        <v>100</v>
      </c>
      <c r="D29" s="432" t="e">
        <f>IF((D19+D20+D21+D22+D23)=0,0,(D19*D24+D20*D25+D21*D26+D22*D27+D23*D30)/(D19+D20+D21+D22+D23))</f>
        <v>#VALUE!</v>
      </c>
      <c r="E29" s="101" t="s">
        <v>107</v>
      </c>
      <c r="F29" s="115" t="s">
        <v>107</v>
      </c>
      <c r="G29" s="103" t="e">
        <f>IF((G19+G20+G21+G22+G23)=0,0,(G19*G24+G20*G25+G21*G26+G22*G27+G23*G30)/(G19+G20+G21+G22+G23))</f>
        <v>#VALUE!</v>
      </c>
      <c r="H29" s="101" t="s">
        <v>107</v>
      </c>
      <c r="I29" s="115" t="s">
        <v>107</v>
      </c>
    </row>
    <row r="30" spans="1:9" ht="30.75" thickBot="1" x14ac:dyDescent="0.3">
      <c r="A30" s="176">
        <v>12</v>
      </c>
      <c r="B30" s="134" t="s">
        <v>114</v>
      </c>
      <c r="C30" s="118" t="s">
        <v>100</v>
      </c>
      <c r="D30" s="433">
        <f>'норм втрати'!$I$38</f>
        <v>10</v>
      </c>
      <c r="E30" s="117">
        <f>'норм втрати'!$I$38</f>
        <v>10</v>
      </c>
      <c r="F30" s="118" t="s">
        <v>107</v>
      </c>
      <c r="G30" s="117">
        <f>'норм втрати'!$I$38</f>
        <v>10</v>
      </c>
      <c r="H30" s="117">
        <f>'норм втрати'!$I$38</f>
        <v>10</v>
      </c>
      <c r="I30" s="118" t="s">
        <v>107</v>
      </c>
    </row>
    <row r="31" spans="1:9" ht="30" x14ac:dyDescent="0.25">
      <c r="A31" s="178">
        <v>13</v>
      </c>
      <c r="B31" s="132" t="s">
        <v>87</v>
      </c>
      <c r="C31" s="114" t="s">
        <v>101</v>
      </c>
      <c r="D31" s="425" t="s">
        <v>107</v>
      </c>
      <c r="E31" s="113" t="s">
        <v>107</v>
      </c>
      <c r="F31" s="114">
        <v>29</v>
      </c>
      <c r="G31" s="113" t="s">
        <v>107</v>
      </c>
      <c r="H31" s="113" t="s">
        <v>107</v>
      </c>
      <c r="I31" s="114">
        <v>29</v>
      </c>
    </row>
    <row r="32" spans="1:9" ht="30" x14ac:dyDescent="0.25">
      <c r="A32" s="175">
        <v>14</v>
      </c>
      <c r="B32" s="133" t="s">
        <v>115</v>
      </c>
      <c r="C32" s="115" t="s">
        <v>101</v>
      </c>
      <c r="D32" s="426">
        <v>8</v>
      </c>
      <c r="E32" s="101" t="s">
        <v>107</v>
      </c>
      <c r="F32" s="115" t="s">
        <v>107</v>
      </c>
      <c r="G32" s="101">
        <v>8</v>
      </c>
      <c r="H32" s="101" t="s">
        <v>107</v>
      </c>
      <c r="I32" s="115" t="s">
        <v>107</v>
      </c>
    </row>
    <row r="33" spans="1:12" x14ac:dyDescent="0.25">
      <c r="A33" s="175">
        <v>15</v>
      </c>
      <c r="B33" s="373" t="s">
        <v>116</v>
      </c>
      <c r="C33" s="115" t="s">
        <v>102</v>
      </c>
      <c r="D33" s="419">
        <v>2.56</v>
      </c>
      <c r="E33" s="319"/>
      <c r="F33" s="115" t="s">
        <v>107</v>
      </c>
      <c r="G33" s="319"/>
      <c r="H33" s="319">
        <v>1.5</v>
      </c>
      <c r="I33" s="115" t="s">
        <v>107</v>
      </c>
      <c r="J33" s="554"/>
      <c r="K33" s="555"/>
      <c r="L33" s="555"/>
    </row>
    <row r="34" spans="1:12" ht="15.75" thickBot="1" x14ac:dyDescent="0.3">
      <c r="A34" s="176">
        <v>16</v>
      </c>
      <c r="B34" s="374" t="s">
        <v>119</v>
      </c>
      <c r="C34" s="118" t="s">
        <v>102</v>
      </c>
      <c r="D34" s="424">
        <v>2.04</v>
      </c>
      <c r="E34" s="116" t="s">
        <v>107</v>
      </c>
      <c r="F34" s="118" t="s">
        <v>107</v>
      </c>
      <c r="G34" s="323"/>
      <c r="H34" s="116" t="s">
        <v>107</v>
      </c>
      <c r="I34" s="118" t="s">
        <v>107</v>
      </c>
      <c r="J34" s="554"/>
      <c r="K34" s="555"/>
      <c r="L34" s="555"/>
    </row>
    <row r="35" spans="1:12" x14ac:dyDescent="0.25">
      <c r="A35" s="178">
        <v>17</v>
      </c>
      <c r="B35" s="376" t="s">
        <v>88</v>
      </c>
      <c r="C35" s="114" t="s">
        <v>45</v>
      </c>
      <c r="D35" s="423"/>
      <c r="E35" s="322"/>
      <c r="F35" s="324"/>
      <c r="G35" s="322"/>
      <c r="H35" s="322"/>
      <c r="I35" s="324"/>
      <c r="J35" s="554"/>
      <c r="K35" s="555"/>
      <c r="L35" s="555"/>
    </row>
    <row r="36" spans="1:12" ht="15.75" thickBot="1" x14ac:dyDescent="0.3">
      <c r="A36" s="175">
        <v>18</v>
      </c>
      <c r="B36" s="373" t="s">
        <v>89</v>
      </c>
      <c r="C36" s="115" t="s">
        <v>45</v>
      </c>
      <c r="D36" s="419"/>
      <c r="E36" s="319"/>
      <c r="F36" s="320"/>
      <c r="G36" s="319"/>
      <c r="H36" s="319"/>
      <c r="I36" s="320"/>
      <c r="J36" s="554"/>
      <c r="K36" s="555"/>
      <c r="L36" s="555"/>
    </row>
    <row r="37" spans="1:12" ht="15.75" hidden="1" thickBot="1" x14ac:dyDescent="0.3">
      <c r="A37" s="256"/>
      <c r="B37" s="373" t="s">
        <v>90</v>
      </c>
      <c r="C37" s="115" t="s">
        <v>45</v>
      </c>
      <c r="D37" s="419"/>
      <c r="E37" s="319"/>
      <c r="F37" s="320"/>
      <c r="G37" s="319"/>
      <c r="H37" s="319"/>
      <c r="I37" s="320"/>
      <c r="J37" s="377"/>
      <c r="K37" s="377"/>
      <c r="L37" s="377"/>
    </row>
    <row r="38" spans="1:12" ht="30.75" hidden="1" thickBot="1" x14ac:dyDescent="0.3">
      <c r="A38" s="257"/>
      <c r="B38" s="374" t="s">
        <v>91</v>
      </c>
      <c r="C38" s="118" t="s">
        <v>45</v>
      </c>
      <c r="D38" s="424"/>
      <c r="E38" s="323"/>
      <c r="F38" s="325"/>
      <c r="G38" s="323"/>
      <c r="H38" s="323"/>
      <c r="I38" s="325"/>
      <c r="J38" s="377"/>
      <c r="K38" s="377"/>
      <c r="L38" s="377"/>
    </row>
    <row r="39" spans="1:12" ht="30" x14ac:dyDescent="0.25">
      <c r="A39" s="178">
        <v>19</v>
      </c>
      <c r="B39" s="376" t="s">
        <v>92</v>
      </c>
      <c r="C39" s="114" t="s">
        <v>102</v>
      </c>
      <c r="D39" s="449">
        <f>(0.052+0.00021*D24)*1.1</f>
        <v>5.9137152982114582E-2</v>
      </c>
      <c r="E39" s="449">
        <f>(0.052+0.0002*E24)*1.1</f>
        <v>5.9044907602013884E-2</v>
      </c>
      <c r="F39" s="451">
        <f>(0.052+0.0002*F24)*1.1</f>
        <v>5.9044907602013884E-2</v>
      </c>
      <c r="G39" s="423"/>
      <c r="H39" s="448"/>
      <c r="I39" s="324"/>
      <c r="J39" s="548"/>
      <c r="K39" s="549"/>
      <c r="L39" s="549"/>
    </row>
    <row r="40" spans="1:12" ht="30.75" thickBot="1" x14ac:dyDescent="0.3">
      <c r="A40" s="175">
        <v>20</v>
      </c>
      <c r="B40" s="373" t="s">
        <v>93</v>
      </c>
      <c r="C40" s="115" t="s">
        <v>102</v>
      </c>
      <c r="D40" s="450">
        <f>(0.052+0.00021*D25)*1.1</f>
        <v>5.9137152982114582E-2</v>
      </c>
      <c r="E40" s="419">
        <f>(0.052+0.0002*E25)*1.1</f>
        <v>5.9044907602013884E-2</v>
      </c>
      <c r="F40" s="320">
        <f>(0.052+0.0002*F25)*1.1</f>
        <v>5.9044907602013884E-2</v>
      </c>
      <c r="G40" s="419"/>
      <c r="H40" s="323"/>
      <c r="I40" s="320"/>
      <c r="J40" s="550"/>
      <c r="K40" s="549"/>
      <c r="L40" s="549"/>
    </row>
    <row r="41" spans="1:12" ht="30.75" hidden="1" thickBot="1" x14ac:dyDescent="0.3">
      <c r="A41" s="256"/>
      <c r="B41" s="133" t="s">
        <v>94</v>
      </c>
      <c r="C41" s="115" t="s">
        <v>102</v>
      </c>
      <c r="D41" s="434">
        <f>1.5*0.05</f>
        <v>7.5000000000000011E-2</v>
      </c>
      <c r="E41" s="102">
        <v>0.05</v>
      </c>
      <c r="F41" s="127">
        <v>0.05</v>
      </c>
      <c r="G41" s="102">
        <v>0.05</v>
      </c>
      <c r="H41" s="126">
        <v>0.04</v>
      </c>
      <c r="I41" s="127">
        <v>0.05</v>
      </c>
    </row>
    <row r="42" spans="1:12" ht="30.75" hidden="1" thickBot="1" x14ac:dyDescent="0.3">
      <c r="A42" s="257"/>
      <c r="B42" s="134" t="s">
        <v>95</v>
      </c>
      <c r="C42" s="118" t="s">
        <v>102</v>
      </c>
      <c r="D42" s="434">
        <f>1.5*0.05</f>
        <v>7.5000000000000011E-2</v>
      </c>
      <c r="E42" s="128">
        <v>0.05</v>
      </c>
      <c r="F42" s="129">
        <v>0.05</v>
      </c>
      <c r="G42" s="128">
        <v>0.05</v>
      </c>
      <c r="H42" s="126">
        <v>0.04</v>
      </c>
      <c r="I42" s="129">
        <v>0.05</v>
      </c>
    </row>
    <row r="43" spans="1:12" ht="30.75" hidden="1" thickBot="1" x14ac:dyDescent="0.3">
      <c r="A43" s="179"/>
      <c r="B43" s="135" t="s">
        <v>139</v>
      </c>
      <c r="C43" s="443" t="s">
        <v>117</v>
      </c>
      <c r="D43" s="435">
        <f>IF(D5=0,0,IF(D39=0,0,LN((D5+2*D35)/D5)/(2*3.1416*(D39))+1/3.14/(D5+2*D35)/D32))</f>
        <v>0</v>
      </c>
      <c r="E43" s="141">
        <f>IF(E5=0,0,IF(E39=0,0,LN((E5+2*E35)/E5)/(2*3.1416*E39)))</f>
        <v>0</v>
      </c>
      <c r="F43" s="142">
        <f>IF(F5=0,0,IF(F39=0,0,LN((F5+2*F35)/F5)/(2*3.1416*(F39))+1/3.14/(F5+2*F35)/F31))</f>
        <v>0</v>
      </c>
      <c r="G43" s="141">
        <f>IF(G5=0,0,IF(G39=0,0,LN((G5+2*G35)/G5)/(2*3.1416*(G39))+1/3.14/(G5+2*G35)/G32))</f>
        <v>0</v>
      </c>
      <c r="H43" s="141">
        <f>IF(H5=0,0,IF(H39=0,0,LN((H5+2*H35)/H5)/(2*3.1416*H39)))</f>
        <v>0</v>
      </c>
      <c r="I43" s="142">
        <f>IF(I5=0,0,IF(I39=0,0,LN((I5+2*I35)/I5)/(2*3.1416*(I39))+1/3.14/(I5+2*I35)/I31))</f>
        <v>0</v>
      </c>
    </row>
    <row r="44" spans="1:12" ht="30.75" hidden="1" thickBot="1" x14ac:dyDescent="0.3">
      <c r="A44" s="180"/>
      <c r="B44" s="133" t="s">
        <v>140</v>
      </c>
      <c r="C44" s="115" t="s">
        <v>117</v>
      </c>
      <c r="D44" s="432">
        <f>IF(D6=0,0,IF(D40=0,0,LN((D6+2*D36)/D6)/(2*3.1416*(D40))+1/3.14/(D6+2*D36)/D32))</f>
        <v>0</v>
      </c>
      <c r="E44" s="103">
        <f>IF(E6=0,0,IF(E40=0,0,LN((E6+2*E36)/E6)/(2*3.1416*E40)))</f>
        <v>0</v>
      </c>
      <c r="F44" s="124">
        <f>IF(F6=0,0,IF(F40=0,0,LN((F6+2*F36)/F6)/(2*3.1416*(F40))+1/3.14/(F6+2*F36)/F31))</f>
        <v>0</v>
      </c>
      <c r="G44" s="103">
        <f>IF(G6=0,0,IF(G40=0,0,LN((G6+2*G36)/G6)/(2*3.1416*(G40))+1/3.14/(G6+2*G36)/G32))</f>
        <v>0</v>
      </c>
      <c r="H44" s="103">
        <f>IF(H6=0,0,IF(H40=0,0,LN((H6+2*H36)/H6)/(2*3.1416*H40)))</f>
        <v>0</v>
      </c>
      <c r="I44" s="124">
        <f>IF(I6=0,0,IF(I40=0,0,LN((I6+2*I36)/I6)/(2*3.1416*(I40))+1/3.14/(I6+2*I36)/I31))</f>
        <v>0</v>
      </c>
    </row>
    <row r="45" spans="1:12" ht="30.75" hidden="1" thickBot="1" x14ac:dyDescent="0.3">
      <c r="A45" s="180"/>
      <c r="B45" s="133" t="s">
        <v>142</v>
      </c>
      <c r="C45" s="115" t="s">
        <v>117</v>
      </c>
      <c r="D45" s="432">
        <f>IF(D7=0,0,IF(D41=0,0,LN((D7+2*D37)/D7)/(2*3.1416*(D41))+1/3.14/(D7+2*D37)/D32))</f>
        <v>0</v>
      </c>
      <c r="E45" s="103">
        <f>IF(E7=0,0,IF(E41=0,0,LN((E7+2*E37)/E7)/(2*3.1416*E41)))</f>
        <v>0</v>
      </c>
      <c r="F45" s="124">
        <f>IF(F7=0,0,IF(F41=0,0,LN((F7+2*F37)/F7)/(2*3.1416*(F41))+1/3.14/(F7+2*F37)/F31))</f>
        <v>0</v>
      </c>
      <c r="G45" s="103">
        <f>IF(G7=0,0,IF(G41=0,0,LN((G7+2*G37)/G7)/(2*3.1416*(G41))+1/3.14/(G7+2*G37)/G32))</f>
        <v>0</v>
      </c>
      <c r="H45" s="103">
        <f>IF(H7=0,0,IF(H41=0,0,LN((H7+2*H37)/H7)/(2*3.1416*H41)))</f>
        <v>0</v>
      </c>
      <c r="I45" s="124">
        <f>IF(I7=0,0,IF(I41=0,0,LN((I7+2*I37)/I7)/(2*3.1416*(I41))+1/3.14/(I7+2*I37)/I31))</f>
        <v>0</v>
      </c>
    </row>
    <row r="46" spans="1:12" ht="30.75" hidden="1" thickBot="1" x14ac:dyDescent="0.3">
      <c r="A46" s="180"/>
      <c r="B46" s="134" t="s">
        <v>141</v>
      </c>
      <c r="C46" s="118" t="s">
        <v>117</v>
      </c>
      <c r="D46" s="433">
        <f>IF(D8=0,0,IF(D42=0,0,LN((D8+2*D38)/D8)/(2*3.1416*(D42))+1/3.14/(D8+2*D38)/D32))</f>
        <v>0</v>
      </c>
      <c r="E46" s="117">
        <f>IF(E8=0,0,IF(E42=0,0,LN((E8+2*E38)/E8)/(2*3.1416*E42)))</f>
        <v>0</v>
      </c>
      <c r="F46" s="125">
        <f>IF(F8=0,0,IF(F42=0,0,LN((F8+2*F38)/F8)/(2*3.1416*(F42))+1/3.14/(F8+2*F38)/F31))</f>
        <v>0</v>
      </c>
      <c r="G46" s="117">
        <f>IF(G8=0,0,IF(G42=0,0,LN((G8+2*G38)/G8)/(2*3.1416*(G42))+1/3.14/(G8+2*G38)/G32))</f>
        <v>0</v>
      </c>
      <c r="H46" s="117">
        <f>IF(H8=0,0,IF(H42=0,0,LN((H8+2*H38)/H8)/(2*3.1416*H42)))</f>
        <v>0</v>
      </c>
      <c r="I46" s="125">
        <f>IF(I8=0,0,IF(I42=0,0,LN((I8+2*I38)/I8)/(2*3.1416*(I42))+1/3.14/(I8+2*I38)/I31))</f>
        <v>0</v>
      </c>
    </row>
    <row r="47" spans="1:12" ht="16.5" hidden="1" customHeight="1" x14ac:dyDescent="0.25">
      <c r="A47" s="180"/>
      <c r="B47" s="135" t="s">
        <v>128</v>
      </c>
      <c r="C47" s="443" t="s">
        <v>117</v>
      </c>
      <c r="D47" s="436" t="e">
        <f>D48+D49+D50+D51</f>
        <v>#VALUE!</v>
      </c>
      <c r="E47" s="105" t="s">
        <v>107</v>
      </c>
      <c r="F47" s="105" t="s">
        <v>107</v>
      </c>
      <c r="G47" s="112" t="e">
        <f>G48+G49+G50+G51</f>
        <v>#VALUE!</v>
      </c>
      <c r="H47" s="105" t="s">
        <v>107</v>
      </c>
      <c r="I47" s="105" t="s">
        <v>107</v>
      </c>
    </row>
    <row r="48" spans="1:12" ht="16.5" hidden="1" customHeight="1" x14ac:dyDescent="0.25">
      <c r="A48" s="180"/>
      <c r="B48" s="133" t="s">
        <v>129</v>
      </c>
      <c r="C48" s="115" t="s">
        <v>117</v>
      </c>
      <c r="D48" s="437">
        <f>IF(D17=0,0,1/3.1416/D32/D17)</f>
        <v>0</v>
      </c>
      <c r="E48" s="101" t="s">
        <v>107</v>
      </c>
      <c r="F48" s="101" t="s">
        <v>107</v>
      </c>
      <c r="G48" s="107">
        <f>IF(G17=0,0,1/3.1416/G32/G17)</f>
        <v>0</v>
      </c>
      <c r="H48" s="101" t="s">
        <v>107</v>
      </c>
      <c r="I48" s="101" t="s">
        <v>107</v>
      </c>
    </row>
    <row r="49" spans="1:9" ht="46.5" hidden="1" customHeight="1" x14ac:dyDescent="0.25">
      <c r="A49" s="180"/>
      <c r="B49" s="133" t="s">
        <v>130</v>
      </c>
      <c r="C49" s="115" t="s">
        <v>117</v>
      </c>
      <c r="D49" s="438" t="str">
        <f>IF(D34=0,"ввести терм. опір кан",IF(D34=0,0,IF(D17=0,"ввести розмір каналу",1/2/3.1416/D34*LN(D18/D17))))</f>
        <v>ввести розмір каналу</v>
      </c>
      <c r="E49" s="101" t="s">
        <v>107</v>
      </c>
      <c r="F49" s="101" t="s">
        <v>107</v>
      </c>
      <c r="G49" s="110" t="str">
        <f>IF(G34=0,"ввести терм. опір кан",IF(G34=0,0,IF(G17=0,"ввести розмір каналу",1/2/3.1416/G34*LN(G18/G17))))</f>
        <v>ввести терм. опір кан</v>
      </c>
      <c r="H49" s="101" t="s">
        <v>107</v>
      </c>
      <c r="I49" s="101" t="s">
        <v>107</v>
      </c>
    </row>
    <row r="50" spans="1:9" ht="47.25" hidden="1" customHeight="1" x14ac:dyDescent="0.25">
      <c r="A50" s="180"/>
      <c r="B50" s="133" t="s">
        <v>131</v>
      </c>
      <c r="C50" s="115" t="s">
        <v>117</v>
      </c>
      <c r="D50" s="438">
        <f>IF(D9-(D13+D12/2)&lt;0.7,0,IF(D33=0,"ввести теплопров грунта",IF(D18=0,"ввести роз каналу",IF(D9/D18&gt;2,1/2/3.1416/D33*LN(4*D9/D18),1/2/3.1416/D33*LN(2*D9*SQRT(4*D9*D9-D18*D18)/D18)))))</f>
        <v>0</v>
      </c>
      <c r="E50" s="101" t="s">
        <v>107</v>
      </c>
      <c r="F50" s="101" t="s">
        <v>107</v>
      </c>
      <c r="G50" s="110">
        <f>IF(G9-(G13+G12/2)&lt;0.7,0,IF(G33=0,"ввести теплопров грунта",IF(G18=0,"ввести роз каналу",IF(G9/G18&gt;2,1/2/3.1416/G33*LN(4*G9/G18),1/2/3.1416/G33*LN(2*G9*SQRT(4*G9*G9-G18*G18)/G18)))))</f>
        <v>0</v>
      </c>
      <c r="H50" s="101" t="s">
        <v>107</v>
      </c>
      <c r="I50" s="101" t="s">
        <v>107</v>
      </c>
    </row>
    <row r="51" spans="1:9" ht="51.75" hidden="1" customHeight="1" thickBot="1" x14ac:dyDescent="0.3">
      <c r="A51" s="180"/>
      <c r="B51" s="131" t="s">
        <v>132</v>
      </c>
      <c r="C51" s="121" t="s">
        <v>117</v>
      </c>
      <c r="D51" s="437" t="str">
        <f>IF(D9-(D13+D12/2)&gt;0.7,0,IF(D33=0,"ввести теплопров грунта",IF(D18=0,"ввести роз каналу",IF(D9/D18&gt;2,1/2/3.1416/D33*LN(4*D10/D18),1/2/3.1416/D33*LN(2*D10*SQRT(4*D10*D10-D18*D18)/D18)))))</f>
        <v>ввести роз каналу</v>
      </c>
      <c r="E51" s="104" t="s">
        <v>107</v>
      </c>
      <c r="F51" s="104" t="s">
        <v>107</v>
      </c>
      <c r="G51" s="107" t="str">
        <f>IF(G9-(G13+G12/2)&gt;0.7,0,IF(G33=0,"ввести теплопров грунта",IF(G18=0,"ввести роз каналу",IF(G9/G18&gt;2,1/2/3.1416/G33*LN(4*G10/G18),1/2/3.1416/G33*LN(2*G10*SQRT(4*G10*G10-G18*G18)/G18)))))</f>
        <v>ввести теплопров грунта</v>
      </c>
      <c r="H51" s="104" t="s">
        <v>107</v>
      </c>
      <c r="I51" s="104" t="s">
        <v>107</v>
      </c>
    </row>
    <row r="52" spans="1:9" ht="15" hidden="1" customHeight="1" x14ac:dyDescent="0.25">
      <c r="A52" s="180"/>
      <c r="B52" s="132" t="s">
        <v>143</v>
      </c>
      <c r="C52" s="114" t="s">
        <v>117</v>
      </c>
      <c r="D52" s="425" t="s">
        <v>107</v>
      </c>
      <c r="E52" s="119">
        <f>IF(E33=0,0,IF(E14=0,0,1/3.1416/2/E33*LN(SQRT(1+4*E9*E9/E14/E14))))</f>
        <v>0</v>
      </c>
      <c r="F52" s="114" t="s">
        <v>107</v>
      </c>
      <c r="G52" s="113" t="s">
        <v>107</v>
      </c>
      <c r="H52" s="119">
        <f>IF(H33=0,0,IF(H14=0,0,1/3.1416/2/H33*LN(SQRT(1+4*H9*H9/H14/H14))))</f>
        <v>0.36093632000723291</v>
      </c>
      <c r="I52" s="114" t="s">
        <v>107</v>
      </c>
    </row>
    <row r="53" spans="1:9" ht="15" hidden="1" customHeight="1" x14ac:dyDescent="0.25">
      <c r="A53" s="180"/>
      <c r="B53" s="133" t="s">
        <v>144</v>
      </c>
      <c r="C53" s="115" t="s">
        <v>117</v>
      </c>
      <c r="D53" s="426" t="s">
        <v>107</v>
      </c>
      <c r="E53" s="120">
        <f>IF(E33=0,0,IF(E15=0,0,1/3.1416/2/E33*LN(SQRT(1+4*E9*E9/E15/E15))))</f>
        <v>0</v>
      </c>
      <c r="F53" s="115" t="s">
        <v>107</v>
      </c>
      <c r="G53" s="101" t="s">
        <v>107</v>
      </c>
      <c r="H53" s="120">
        <f>IF(H33=0,0,IF(H15=0,0,1/3.1416/2/H33*LN(SQRT(1+4*H9*H9/H15/H15))))</f>
        <v>0</v>
      </c>
      <c r="I53" s="115" t="s">
        <v>107</v>
      </c>
    </row>
    <row r="54" spans="1:9" ht="15" hidden="1" customHeight="1" thickBot="1" x14ac:dyDescent="0.3">
      <c r="A54" s="180"/>
      <c r="B54" s="131" t="s">
        <v>145</v>
      </c>
      <c r="C54" s="121" t="s">
        <v>117</v>
      </c>
      <c r="D54" s="439" t="s">
        <v>107</v>
      </c>
      <c r="E54" s="110">
        <f>IF(E33=0,0,IF(E16=0,0,1/3.1416/2/E33*LN(SQRT(1+4*E9*E9/E16/E16))))</f>
        <v>0</v>
      </c>
      <c r="F54" s="121" t="s">
        <v>107</v>
      </c>
      <c r="G54" s="104" t="s">
        <v>107</v>
      </c>
      <c r="H54" s="110">
        <f>IF(H33=0,0,IF(H16=0,0,1/3.1416/2/H33*LN(SQRT(1+4*H9*H9/H16/H16))))</f>
        <v>0</v>
      </c>
      <c r="I54" s="121" t="s">
        <v>107</v>
      </c>
    </row>
    <row r="55" spans="1:9" ht="31.5" hidden="1" customHeight="1" x14ac:dyDescent="0.25">
      <c r="A55" s="180"/>
      <c r="B55" s="132" t="s">
        <v>146</v>
      </c>
      <c r="C55" s="114" t="s">
        <v>117</v>
      </c>
      <c r="D55" s="425" t="s">
        <v>107</v>
      </c>
      <c r="E55" s="119">
        <f>IF(E33=0,0,IF(E5+2*E35=0,0,1/2/3.1416/E33*LN(4*E9/(E5+2*E35))))</f>
        <v>0</v>
      </c>
      <c r="F55" s="114" t="s">
        <v>107</v>
      </c>
      <c r="G55" s="113" t="s">
        <v>107</v>
      </c>
      <c r="H55" s="119">
        <f>IF(H33=0,0,IF(H5+2*H35=0,0,1/2/3.1416/H33*LN(4*H9/(H5+2*H35))))</f>
        <v>0.2873323785228557</v>
      </c>
      <c r="I55" s="114" t="s">
        <v>107</v>
      </c>
    </row>
    <row r="56" spans="1:9" ht="33" hidden="1" customHeight="1" x14ac:dyDescent="0.25">
      <c r="A56" s="180"/>
      <c r="B56" s="133" t="s">
        <v>147</v>
      </c>
      <c r="C56" s="115" t="s">
        <v>117</v>
      </c>
      <c r="D56" s="426" t="s">
        <v>107</v>
      </c>
      <c r="E56" s="120">
        <f>IF(E33=0,0,IF(E6+2*E36=0,0,1/2/3.1416/E33*LN(4*E9/(E6+2*E36))))</f>
        <v>0</v>
      </c>
      <c r="F56" s="115" t="s">
        <v>107</v>
      </c>
      <c r="G56" s="101" t="s">
        <v>107</v>
      </c>
      <c r="H56" s="120">
        <f>IF(H33=0,0,IF(H6+2*H36=0,0,1/2/3.1416/H33*LN(4*H9/(H6+2*H36))))</f>
        <v>0.2873323785228557</v>
      </c>
      <c r="I56" s="115" t="s">
        <v>107</v>
      </c>
    </row>
    <row r="57" spans="1:9" ht="25.5" hidden="1" customHeight="1" x14ac:dyDescent="0.25">
      <c r="A57" s="180"/>
      <c r="B57" s="133" t="s">
        <v>148</v>
      </c>
      <c r="C57" s="115" t="s">
        <v>117</v>
      </c>
      <c r="D57" s="426" t="s">
        <v>107</v>
      </c>
      <c r="E57" s="120">
        <f>IF(E33=0,0,IF(E7+2*E37=0,0,1/2/3.1416/E33*LN(4*E9/(E7+2*E37))))</f>
        <v>0</v>
      </c>
      <c r="F57" s="115" t="s">
        <v>107</v>
      </c>
      <c r="G57" s="101" t="s">
        <v>107</v>
      </c>
      <c r="H57" s="120">
        <f>IF(H33=0,0,IF(H7+2*H37=0,0,1/2/3.1416/H33*LN(4*H9/(H7+2*H37))))</f>
        <v>0</v>
      </c>
      <c r="I57" s="115" t="s">
        <v>107</v>
      </c>
    </row>
    <row r="58" spans="1:9" ht="15" hidden="1" customHeight="1" thickBot="1" x14ac:dyDescent="0.3">
      <c r="A58" s="181"/>
      <c r="B58" s="131" t="s">
        <v>149</v>
      </c>
      <c r="C58" s="121" t="s">
        <v>117</v>
      </c>
      <c r="D58" s="439" t="s">
        <v>107</v>
      </c>
      <c r="E58" s="110">
        <f>IF(E33=0,0,IF(E8+2*E38=0,0,1/2/3.1416/E33*LN(4*E9/(E8+2*E38))))</f>
        <v>0</v>
      </c>
      <c r="F58" s="121" t="s">
        <v>107</v>
      </c>
      <c r="G58" s="104" t="s">
        <v>107</v>
      </c>
      <c r="H58" s="110">
        <f>IF(H33=0,0,IF(H8+2*H38=0,0,1/2/3.1416/H33*LN(4*H9/(H8+2*H38))))</f>
        <v>0</v>
      </c>
      <c r="I58" s="121" t="s">
        <v>107</v>
      </c>
    </row>
    <row r="59" spans="1:9" s="145" customFormat="1" ht="30" x14ac:dyDescent="0.25">
      <c r="A59" s="182">
        <v>21</v>
      </c>
      <c r="B59" s="143" t="s">
        <v>96</v>
      </c>
      <c r="C59" s="444" t="s">
        <v>134</v>
      </c>
      <c r="D59" s="440">
        <f>IF(D5+D6+D7+D8=0,0,((D24-D29)*D19+(D25-D29)*D20+(D26-D29)*D21+(D27-D29)*D22)/1.163)</f>
        <v>0</v>
      </c>
      <c r="E59" s="144">
        <f>(IF(E5=0,0,IF(E43+E55=0,0,IF(E44+E56=0,0,((E24-E30)*(E44+E56)-(E25-E30)*E52)/((E43+E55)*(E44+E56)-E52*E52)))))/1.163</f>
        <v>0</v>
      </c>
      <c r="F59" s="151">
        <f>IF(F43=0,0,(F24-F28)/F43/1.163)</f>
        <v>0</v>
      </c>
      <c r="G59" s="231">
        <f>IF(G5+G6+G7+G8=0,0,((G24-G29)*G19+(G25-G29)*G20+(G26-G29)*G21+(G27-G29)*G22)/1.163)</f>
        <v>0</v>
      </c>
      <c r="H59" s="144">
        <f>(IF(H5=0,0,IF(H43+H55=0,0,IF(H44+H56=0,0,((H24-H30)*(H44+H56)-(H25-H30)*H52)/((H43+H55)*(H44+H56)-H52*H52)))))/1.163</f>
        <v>-2.1408386014070553</v>
      </c>
      <c r="I59" s="151">
        <f>IF(I43=0,0,(I24-I28)/I43/1.163)</f>
        <v>0</v>
      </c>
    </row>
    <row r="60" spans="1:9" s="145" customFormat="1" ht="30.75" thickBot="1" x14ac:dyDescent="0.3">
      <c r="A60" s="184">
        <v>22</v>
      </c>
      <c r="B60" s="148" t="s">
        <v>97</v>
      </c>
      <c r="C60" s="445" t="s">
        <v>135</v>
      </c>
      <c r="D60" s="441"/>
      <c r="E60" s="230">
        <f>(IF(E6=0,0,IF(E7=0,IF(E43+E55=0,0,IF(E44+E56=0,0,((E25-E30)*(E43+E55)-(E24-E30)*E52)/((E43+E55)*(E44+E56)-E52*E52))),((E25-E30)*(E43+E55)*(E45+E57)-(E24-E30)*E52-(E26-E30)*E53)/((E43+E55)*(E44+E56)*(E45+E57)-(E52+E53)*(E52+E53)))))/1.163</f>
        <v>0</v>
      </c>
      <c r="F60" s="326">
        <f>IF(F44=0,0,(F25-F28)/F44/1.163)</f>
        <v>0</v>
      </c>
      <c r="G60" s="233"/>
      <c r="H60" s="230">
        <f>(IF(H6=0,0,IF(H7=0,IF(H43+H55=0,0,IF(H44+H56=0,0,((H25-H30)*(H43+H55)-(H24-H30)*H52)/((H43+H55)*(H44+H56)-H52*H52))),((H25-H30)*(H43+H55)*(H45+H57)-(H24-H30)*H52-(H26-H30)*H53)/((H43+H55)*(H44+H56)*(H45+H57)-(H52+H53)*(H52+H53)))))/1.163</f>
        <v>-2.1408386014070553</v>
      </c>
      <c r="I60" s="153">
        <f>IF(I44=0,0,(I25-I28)/I44/1.163)</f>
        <v>0</v>
      </c>
    </row>
    <row r="61" spans="1:9" s="145" customFormat="1" hidden="1" x14ac:dyDescent="0.25">
      <c r="A61" s="259"/>
      <c r="B61" s="260" t="s">
        <v>98</v>
      </c>
      <c r="C61" s="261" t="s">
        <v>134</v>
      </c>
      <c r="D61" s="229"/>
      <c r="E61" s="147"/>
      <c r="F61" s="262"/>
      <c r="G61" s="232"/>
      <c r="H61" s="147"/>
      <c r="I61" s="262"/>
    </row>
    <row r="62" spans="1:9" s="145" customFormat="1" ht="30.75" hidden="1" thickBot="1" x14ac:dyDescent="0.3">
      <c r="A62" s="258"/>
      <c r="B62" s="148" t="s">
        <v>99</v>
      </c>
      <c r="C62" s="149" t="s">
        <v>135</v>
      </c>
      <c r="D62" s="230"/>
      <c r="E62" s="150"/>
      <c r="F62" s="153"/>
      <c r="G62" s="233"/>
      <c r="H62" s="150"/>
      <c r="I62" s="153"/>
    </row>
  </sheetData>
  <sheetProtection password="CC15" sheet="1"/>
  <mergeCells count="10">
    <mergeCell ref="A2:A3"/>
    <mergeCell ref="D2:F2"/>
    <mergeCell ref="G2:I2"/>
    <mergeCell ref="B2:C2"/>
    <mergeCell ref="J39:L40"/>
    <mergeCell ref="J11:K13"/>
    <mergeCell ref="J5:K6"/>
    <mergeCell ref="J33:L33"/>
    <mergeCell ref="J34:L34"/>
    <mergeCell ref="J35:L36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6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topLeftCell="B1" zoomScale="90" zoomScaleNormal="90" workbookViewId="0">
      <selection activeCell="D7" sqref="D7"/>
    </sheetView>
  </sheetViews>
  <sheetFormatPr defaultRowHeight="15" x14ac:dyDescent="0.25"/>
  <cols>
    <col min="2" max="2" width="46.28515625" style="130" customWidth="1"/>
    <col min="3" max="3" width="19.42578125" customWidth="1"/>
    <col min="4" max="4" width="14.140625" customWidth="1"/>
    <col min="5" max="5" width="13.42578125" customWidth="1"/>
    <col min="6" max="6" width="13" customWidth="1"/>
    <col min="7" max="7" width="15" customWidth="1"/>
    <col min="8" max="8" width="14.85546875" customWidth="1"/>
    <col min="9" max="9" width="16.42578125" customWidth="1"/>
  </cols>
  <sheetData>
    <row r="1" spans="1:9" ht="15.75" thickBot="1" x14ac:dyDescent="0.3">
      <c r="B1" s="556" t="s">
        <v>483</v>
      </c>
      <c r="C1" s="556"/>
      <c r="D1" s="556"/>
      <c r="E1" s="556"/>
      <c r="F1" s="556"/>
      <c r="G1" s="556"/>
      <c r="H1" s="556"/>
      <c r="I1" s="556"/>
    </row>
    <row r="2" spans="1:9" ht="33.75" customHeight="1" thickBot="1" x14ac:dyDescent="0.3">
      <c r="A2" s="541" t="s">
        <v>156</v>
      </c>
      <c r="B2" s="546" t="s">
        <v>459</v>
      </c>
      <c r="C2" s="547"/>
      <c r="D2" s="543" t="s">
        <v>154</v>
      </c>
      <c r="E2" s="544"/>
      <c r="F2" s="545"/>
      <c r="G2" s="543" t="s">
        <v>165</v>
      </c>
      <c r="H2" s="544"/>
      <c r="I2" s="545"/>
    </row>
    <row r="3" spans="1:9" ht="60.75" thickBot="1" x14ac:dyDescent="0.3">
      <c r="A3" s="542"/>
      <c r="B3" s="159" t="s">
        <v>103</v>
      </c>
      <c r="C3" s="158" t="s">
        <v>104</v>
      </c>
      <c r="D3" s="160" t="s">
        <v>155</v>
      </c>
      <c r="E3" s="157" t="s">
        <v>118</v>
      </c>
      <c r="F3" s="158" t="s">
        <v>105</v>
      </c>
      <c r="G3" s="160" t="s">
        <v>155</v>
      </c>
      <c r="H3" s="157" t="s">
        <v>118</v>
      </c>
      <c r="I3" s="158" t="s">
        <v>105</v>
      </c>
    </row>
    <row r="4" spans="1:9" ht="15.75" thickBot="1" x14ac:dyDescent="0.3">
      <c r="A4" s="161">
        <v>1</v>
      </c>
      <c r="B4" s="154">
        <v>2</v>
      </c>
      <c r="C4" s="156">
        <v>3</v>
      </c>
      <c r="D4" s="154">
        <v>4</v>
      </c>
      <c r="E4" s="155">
        <v>5</v>
      </c>
      <c r="F4" s="156">
        <v>6</v>
      </c>
      <c r="G4" s="154">
        <v>7</v>
      </c>
      <c r="H4" s="155">
        <v>8</v>
      </c>
      <c r="I4" s="156">
        <v>9</v>
      </c>
    </row>
    <row r="5" spans="1:9" x14ac:dyDescent="0.25">
      <c r="A5" s="174">
        <v>1</v>
      </c>
      <c r="B5" s="135" t="s">
        <v>150</v>
      </c>
      <c r="C5" s="114" t="s">
        <v>45</v>
      </c>
      <c r="D5" s="418">
        <v>0.42599999999999999</v>
      </c>
      <c r="E5" s="317">
        <v>0</v>
      </c>
      <c r="F5" s="318">
        <v>0</v>
      </c>
      <c r="G5" s="317">
        <v>0</v>
      </c>
      <c r="H5" s="317">
        <v>0.4</v>
      </c>
      <c r="I5" s="318">
        <v>0</v>
      </c>
    </row>
    <row r="6" spans="1:9" x14ac:dyDescent="0.25">
      <c r="A6" s="175">
        <v>2</v>
      </c>
      <c r="B6" s="133" t="s">
        <v>151</v>
      </c>
      <c r="C6" s="115" t="s">
        <v>45</v>
      </c>
      <c r="D6" s="418">
        <v>0.42599999999999999</v>
      </c>
      <c r="E6" s="319">
        <v>0</v>
      </c>
      <c r="F6" s="320">
        <v>0</v>
      </c>
      <c r="G6" s="319">
        <v>0</v>
      </c>
      <c r="H6" s="317">
        <v>0.4</v>
      </c>
      <c r="I6" s="320">
        <v>0</v>
      </c>
    </row>
    <row r="7" spans="1:9" x14ac:dyDescent="0.25">
      <c r="A7" s="175">
        <v>3</v>
      </c>
      <c r="B7" s="133" t="s">
        <v>152</v>
      </c>
      <c r="C7" s="115" t="s">
        <v>45</v>
      </c>
      <c r="D7" s="419">
        <v>0</v>
      </c>
      <c r="E7" s="319">
        <v>0</v>
      </c>
      <c r="F7" s="320">
        <v>0</v>
      </c>
      <c r="G7" s="319">
        <v>0</v>
      </c>
      <c r="H7" s="319">
        <v>0</v>
      </c>
      <c r="I7" s="320">
        <v>0</v>
      </c>
    </row>
    <row r="8" spans="1:9" ht="30" x14ac:dyDescent="0.25">
      <c r="A8" s="175">
        <v>4</v>
      </c>
      <c r="B8" s="133" t="s">
        <v>153</v>
      </c>
      <c r="C8" s="115" t="s">
        <v>45</v>
      </c>
      <c r="D8" s="419">
        <v>0</v>
      </c>
      <c r="E8" s="319">
        <v>0</v>
      </c>
      <c r="F8" s="320">
        <v>0</v>
      </c>
      <c r="G8" s="319">
        <v>0</v>
      </c>
      <c r="H8" s="319">
        <v>0</v>
      </c>
      <c r="I8" s="320">
        <v>0</v>
      </c>
    </row>
    <row r="9" spans="1:9" ht="30.75" thickBot="1" x14ac:dyDescent="0.3">
      <c r="A9" s="176">
        <v>5</v>
      </c>
      <c r="B9" s="134" t="s">
        <v>106</v>
      </c>
      <c r="C9" s="118" t="s">
        <v>45</v>
      </c>
      <c r="D9" s="421">
        <v>1.5</v>
      </c>
      <c r="E9" s="321">
        <v>0</v>
      </c>
      <c r="F9" s="118" t="s">
        <v>107</v>
      </c>
      <c r="G9" s="321">
        <v>0</v>
      </c>
      <c r="H9" s="321">
        <v>1.5</v>
      </c>
      <c r="I9" s="118" t="s">
        <v>107</v>
      </c>
    </row>
    <row r="10" spans="1:9" ht="45.75" hidden="1" customHeight="1" thickBot="1" x14ac:dyDescent="0.3">
      <c r="A10" s="177"/>
      <c r="B10" s="136" t="s">
        <v>133</v>
      </c>
      <c r="C10" s="442" t="s">
        <v>45</v>
      </c>
      <c r="D10" s="422">
        <f>D9+D36/(10+6.03*SQRT(5))</f>
        <v>1.609012757917581</v>
      </c>
      <c r="E10" s="137">
        <f>E9+E36/(10+6.03*SQRT(5))</f>
        <v>0</v>
      </c>
      <c r="F10" s="111" t="s">
        <v>107</v>
      </c>
      <c r="G10" s="137">
        <f>G9+G36/(10+6.03*SQRT(5))</f>
        <v>0</v>
      </c>
      <c r="H10" s="137">
        <f>H9+H36/(10+6.03*SQRT(5))</f>
        <v>1.609012757917581</v>
      </c>
      <c r="I10" s="111" t="s">
        <v>107</v>
      </c>
    </row>
    <row r="11" spans="1:9" x14ac:dyDescent="0.25">
      <c r="A11" s="178">
        <v>6</v>
      </c>
      <c r="B11" s="132" t="s">
        <v>108</v>
      </c>
      <c r="C11" s="114" t="s">
        <v>45</v>
      </c>
      <c r="D11" s="423">
        <v>1.8</v>
      </c>
      <c r="E11" s="113" t="s">
        <v>107</v>
      </c>
      <c r="F11" s="114" t="s">
        <v>107</v>
      </c>
      <c r="G11" s="322">
        <v>0</v>
      </c>
      <c r="H11" s="113" t="s">
        <v>107</v>
      </c>
      <c r="I11" s="114" t="s">
        <v>107</v>
      </c>
    </row>
    <row r="12" spans="1:9" x14ac:dyDescent="0.25">
      <c r="A12" s="175">
        <v>7</v>
      </c>
      <c r="B12" s="133" t="s">
        <v>109</v>
      </c>
      <c r="C12" s="115" t="s">
        <v>45</v>
      </c>
      <c r="D12" s="419">
        <v>1</v>
      </c>
      <c r="E12" s="101" t="s">
        <v>107</v>
      </c>
      <c r="F12" s="115" t="s">
        <v>107</v>
      </c>
      <c r="G12" s="319">
        <v>0</v>
      </c>
      <c r="H12" s="101" t="s">
        <v>107</v>
      </c>
      <c r="I12" s="115" t="s">
        <v>107</v>
      </c>
    </row>
    <row r="13" spans="1:9" ht="15.75" thickBot="1" x14ac:dyDescent="0.3">
      <c r="A13" s="176">
        <v>8</v>
      </c>
      <c r="B13" s="134" t="s">
        <v>110</v>
      </c>
      <c r="C13" s="118" t="s">
        <v>45</v>
      </c>
      <c r="D13" s="424">
        <v>0.1</v>
      </c>
      <c r="E13" s="116" t="s">
        <v>107</v>
      </c>
      <c r="F13" s="118" t="s">
        <v>107</v>
      </c>
      <c r="G13" s="323">
        <v>0</v>
      </c>
      <c r="H13" s="116" t="s">
        <v>107</v>
      </c>
      <c r="I13" s="118" t="s">
        <v>107</v>
      </c>
    </row>
    <row r="14" spans="1:9" ht="30" x14ac:dyDescent="0.25">
      <c r="A14" s="178">
        <v>9</v>
      </c>
      <c r="B14" s="132" t="s">
        <v>136</v>
      </c>
      <c r="C14" s="114" t="s">
        <v>45</v>
      </c>
      <c r="D14" s="425" t="s">
        <v>107</v>
      </c>
      <c r="E14" s="322">
        <v>0</v>
      </c>
      <c r="F14" s="114"/>
      <c r="G14" s="113" t="s">
        <v>107</v>
      </c>
      <c r="H14" s="322">
        <v>0.4</v>
      </c>
      <c r="I14" s="114"/>
    </row>
    <row r="15" spans="1:9" ht="30" x14ac:dyDescent="0.25">
      <c r="A15" s="175">
        <v>10</v>
      </c>
      <c r="B15" s="133" t="s">
        <v>137</v>
      </c>
      <c r="C15" s="115" t="s">
        <v>45</v>
      </c>
      <c r="D15" s="426" t="s">
        <v>107</v>
      </c>
      <c r="E15" s="319">
        <v>0</v>
      </c>
      <c r="F15" s="115"/>
      <c r="G15" s="101" t="s">
        <v>107</v>
      </c>
      <c r="H15" s="319">
        <v>0</v>
      </c>
      <c r="I15" s="115"/>
    </row>
    <row r="16" spans="1:9" ht="30.75" thickBot="1" x14ac:dyDescent="0.3">
      <c r="A16" s="176">
        <v>11</v>
      </c>
      <c r="B16" s="134" t="s">
        <v>138</v>
      </c>
      <c r="C16" s="118" t="s">
        <v>45</v>
      </c>
      <c r="D16" s="427" t="s">
        <v>107</v>
      </c>
      <c r="E16" s="323">
        <v>0</v>
      </c>
      <c r="F16" s="118"/>
      <c r="G16" s="116" t="s">
        <v>107</v>
      </c>
      <c r="H16" s="323">
        <v>0</v>
      </c>
      <c r="I16" s="118"/>
    </row>
    <row r="17" spans="1:9" ht="15.75" hidden="1" customHeight="1" x14ac:dyDescent="0.25">
      <c r="A17" s="179"/>
      <c r="B17" s="135" t="s">
        <v>121</v>
      </c>
      <c r="C17" s="443" t="s">
        <v>45</v>
      </c>
      <c r="D17" s="428">
        <f>IF((D11+D12)=0,0,2*D11*D12/(D11+D12))</f>
        <v>1.2857142857142858</v>
      </c>
      <c r="E17" s="105" t="s">
        <v>107</v>
      </c>
      <c r="F17" s="105" t="s">
        <v>107</v>
      </c>
      <c r="G17" s="139">
        <f>IF((G11+G12)=0,0,2*G11*G12/(G11+G12))</f>
        <v>0</v>
      </c>
      <c r="H17" s="105" t="s">
        <v>107</v>
      </c>
      <c r="I17" s="105" t="s">
        <v>107</v>
      </c>
    </row>
    <row r="18" spans="1:9" ht="15.75" hidden="1" customHeight="1" x14ac:dyDescent="0.25">
      <c r="A18" s="180"/>
      <c r="B18" s="133" t="s">
        <v>120</v>
      </c>
      <c r="C18" s="115" t="s">
        <v>45</v>
      </c>
      <c r="D18" s="429">
        <f>IF((D11+D12+D13*2+D13*2)=0,0,2*(D11+D13)*(D12+D13)/(D11+D12+2*D13+2*D13))</f>
        <v>1.3062500000000001</v>
      </c>
      <c r="E18" s="101" t="s">
        <v>107</v>
      </c>
      <c r="F18" s="101" t="s">
        <v>107</v>
      </c>
      <c r="G18" s="108">
        <f>IF((G11+G12+G13*2+G13*2)=0,0,2*(G11+G13)*(G12+G13)/(G11+G12+2*G13+2*G13))</f>
        <v>0</v>
      </c>
      <c r="H18" s="101" t="s">
        <v>107</v>
      </c>
      <c r="I18" s="101" t="s">
        <v>107</v>
      </c>
    </row>
    <row r="19" spans="1:9" ht="30.75" hidden="1" customHeight="1" x14ac:dyDescent="0.25">
      <c r="A19" s="180"/>
      <c r="B19" s="133" t="s">
        <v>122</v>
      </c>
      <c r="C19" s="115" t="s">
        <v>126</v>
      </c>
      <c r="D19" s="429">
        <f>IF(D46=0,0,1.2/D46)</f>
        <v>5.633286861265935</v>
      </c>
      <c r="E19" s="101" t="s">
        <v>107</v>
      </c>
      <c r="F19" s="101" t="s">
        <v>107</v>
      </c>
      <c r="G19" s="108">
        <f>IF(G46=0,0,1.2/G46)</f>
        <v>0</v>
      </c>
      <c r="H19" s="101" t="s">
        <v>107</v>
      </c>
      <c r="I19" s="101" t="s">
        <v>107</v>
      </c>
    </row>
    <row r="20" spans="1:9" ht="15.75" hidden="1" customHeight="1" x14ac:dyDescent="0.25">
      <c r="A20" s="180"/>
      <c r="B20" s="133" t="s">
        <v>123</v>
      </c>
      <c r="C20" s="115" t="s">
        <v>126</v>
      </c>
      <c r="D20" s="429">
        <f>IF(D47=0,0,1.2/D47)</f>
        <v>5.5207434413812049</v>
      </c>
      <c r="E20" s="101" t="s">
        <v>107</v>
      </c>
      <c r="F20" s="101" t="s">
        <v>107</v>
      </c>
      <c r="G20" s="108">
        <f>IF(G47=0,0,1.2/G47)</f>
        <v>0</v>
      </c>
      <c r="H20" s="101" t="s">
        <v>107</v>
      </c>
      <c r="I20" s="101" t="s">
        <v>107</v>
      </c>
    </row>
    <row r="21" spans="1:9" ht="15.75" hidden="1" customHeight="1" x14ac:dyDescent="0.25">
      <c r="A21" s="180"/>
      <c r="B21" s="133" t="s">
        <v>124</v>
      </c>
      <c r="C21" s="115" t="s">
        <v>126</v>
      </c>
      <c r="D21" s="429">
        <f>IF(D48=0,0,1.2/D48)</f>
        <v>0</v>
      </c>
      <c r="E21" s="101" t="s">
        <v>107</v>
      </c>
      <c r="F21" s="101" t="s">
        <v>107</v>
      </c>
      <c r="G21" s="108">
        <f>IF(G48=0,0,1.2/G48)</f>
        <v>0</v>
      </c>
      <c r="H21" s="101" t="s">
        <v>107</v>
      </c>
      <c r="I21" s="101" t="s">
        <v>107</v>
      </c>
    </row>
    <row r="22" spans="1:9" ht="30.75" hidden="1" customHeight="1" x14ac:dyDescent="0.25">
      <c r="A22" s="180"/>
      <c r="B22" s="133" t="s">
        <v>125</v>
      </c>
      <c r="C22" s="115" t="s">
        <v>126</v>
      </c>
      <c r="D22" s="429">
        <f>IF(D49=0,0,1.2/D49)</f>
        <v>0</v>
      </c>
      <c r="E22" s="101" t="s">
        <v>107</v>
      </c>
      <c r="F22" s="101" t="s">
        <v>107</v>
      </c>
      <c r="G22" s="108">
        <f>IF(G49=0,0,1.2/G49)</f>
        <v>0</v>
      </c>
      <c r="H22" s="101" t="s">
        <v>107</v>
      </c>
      <c r="I22" s="101" t="s">
        <v>107</v>
      </c>
    </row>
    <row r="23" spans="1:9" ht="15.75" hidden="1" customHeight="1" thickBot="1" x14ac:dyDescent="0.3">
      <c r="A23" s="181"/>
      <c r="B23" s="131" t="s">
        <v>127</v>
      </c>
      <c r="C23" s="121" t="s">
        <v>126</v>
      </c>
      <c r="D23" s="430">
        <f>IF(D50=0,0,1/D50)</f>
        <v>6.8662372931163409</v>
      </c>
      <c r="E23" s="104"/>
      <c r="F23" s="104" t="s">
        <v>107</v>
      </c>
      <c r="G23" s="140" t="e">
        <f>IF(G50=0,0,1/G50)</f>
        <v>#VALUE!</v>
      </c>
      <c r="H23" s="104"/>
      <c r="I23" s="104" t="s">
        <v>107</v>
      </c>
    </row>
    <row r="24" spans="1:9" ht="30" x14ac:dyDescent="0.25">
      <c r="A24" s="178">
        <v>13</v>
      </c>
      <c r="B24" s="132" t="s">
        <v>111</v>
      </c>
      <c r="C24" s="114" t="s">
        <v>100</v>
      </c>
      <c r="D24" s="431">
        <f>'норм втрати'!$J$32</f>
        <v>59.242047375724567</v>
      </c>
      <c r="E24" s="122">
        <f>'норм втрати'!$J$32</f>
        <v>59.242047375724567</v>
      </c>
      <c r="F24" s="123">
        <f>'норм втрати'!$J$32</f>
        <v>59.242047375724567</v>
      </c>
      <c r="G24" s="122">
        <f>'норм втрати'!$J$32</f>
        <v>59.242047375724567</v>
      </c>
      <c r="H24" s="122">
        <f>'норм втрати'!$J$32</f>
        <v>59.242047375724567</v>
      </c>
      <c r="I24" s="123">
        <f>'норм втрати'!$J$32</f>
        <v>59.242047375724567</v>
      </c>
    </row>
    <row r="25" spans="1:9" x14ac:dyDescent="0.25">
      <c r="A25" s="175">
        <v>14</v>
      </c>
      <c r="B25" s="133" t="s">
        <v>112</v>
      </c>
      <c r="C25" s="115" t="s">
        <v>100</v>
      </c>
      <c r="D25" s="432">
        <f>'норм втрати'!$J$33</f>
        <v>43.160994744145619</v>
      </c>
      <c r="E25" s="103">
        <f>'норм втрати'!$J$33</f>
        <v>43.160994744145619</v>
      </c>
      <c r="F25" s="124">
        <f>'норм втрати'!$J$33</f>
        <v>43.160994744145619</v>
      </c>
      <c r="G25" s="103">
        <f>'норм втрати'!$J$33</f>
        <v>43.160994744145619</v>
      </c>
      <c r="H25" s="103">
        <f>'норм втрати'!$J$33</f>
        <v>43.160994744145619</v>
      </c>
      <c r="I25" s="124">
        <f>'норм втрати'!$J$33</f>
        <v>43.160994744145619</v>
      </c>
    </row>
    <row r="26" spans="1:9" x14ac:dyDescent="0.25">
      <c r="A26" s="175">
        <v>15</v>
      </c>
      <c r="B26" s="133" t="s">
        <v>84</v>
      </c>
      <c r="C26" s="115" t="s">
        <v>100</v>
      </c>
      <c r="D26" s="426">
        <f>'норм втрати'!$I$35</f>
        <v>55</v>
      </c>
      <c r="E26" s="101">
        <f>'норм втрати'!$I$35</f>
        <v>55</v>
      </c>
      <c r="F26" s="115">
        <f>'норм втрати'!$I$35</f>
        <v>55</v>
      </c>
      <c r="G26" s="101">
        <f>'норм втрати'!$I$35</f>
        <v>55</v>
      </c>
      <c r="H26" s="101">
        <f>'норм втрати'!$I$35</f>
        <v>55</v>
      </c>
      <c r="I26" s="115">
        <f>'норм втрати'!$I$35</f>
        <v>55</v>
      </c>
    </row>
    <row r="27" spans="1:9" x14ac:dyDescent="0.25">
      <c r="A27" s="175">
        <v>16</v>
      </c>
      <c r="B27" s="133" t="s">
        <v>85</v>
      </c>
      <c r="C27" s="115" t="s">
        <v>100</v>
      </c>
      <c r="D27" s="426">
        <f>'норм втрати'!$I$36</f>
        <v>40</v>
      </c>
      <c r="E27" s="101">
        <f>'норм втрати'!$I$36</f>
        <v>40</v>
      </c>
      <c r="F27" s="115">
        <f>'норм втрати'!$I$36</f>
        <v>40</v>
      </c>
      <c r="G27" s="101">
        <f>'норм втрати'!$I$36</f>
        <v>40</v>
      </c>
      <c r="H27" s="101">
        <f>'норм втрати'!$I$36</f>
        <v>40</v>
      </c>
      <c r="I27" s="115">
        <f>'норм втрати'!$I$36</f>
        <v>40</v>
      </c>
    </row>
    <row r="28" spans="1:9" ht="30" x14ac:dyDescent="0.25">
      <c r="A28" s="175">
        <v>17</v>
      </c>
      <c r="B28" s="133" t="s">
        <v>435</v>
      </c>
      <c r="C28" s="115" t="s">
        <v>100</v>
      </c>
      <c r="D28" s="426" t="s">
        <v>107</v>
      </c>
      <c r="E28" s="101" t="s">
        <v>107</v>
      </c>
      <c r="F28" s="124">
        <f>'норм втрати'!J37</f>
        <v>0.54057142857142859</v>
      </c>
      <c r="G28" s="101" t="s">
        <v>107</v>
      </c>
      <c r="H28" s="101" t="s">
        <v>107</v>
      </c>
      <c r="I28" s="124">
        <f>'норм втрати'!J37</f>
        <v>0.54057142857142859</v>
      </c>
    </row>
    <row r="29" spans="1:9" ht="30" x14ac:dyDescent="0.25">
      <c r="A29" s="255">
        <v>18</v>
      </c>
      <c r="B29" s="133" t="s">
        <v>436</v>
      </c>
      <c r="C29" s="115" t="s">
        <v>100</v>
      </c>
      <c r="D29" s="426" t="s">
        <v>107</v>
      </c>
      <c r="E29" s="101" t="s">
        <v>107</v>
      </c>
      <c r="F29" s="124">
        <f>IF('норм втрати'!$I$39-'норм втрати'!$J$39=0,0,('норм втрати'!$I$37*'норм втрати'!$I$39-'норм втрати'!$J$37*'норм втрати'!$J$39)/('норм втрати'!$I$39-'норм втрати'!$J$39))</f>
        <v>0</v>
      </c>
      <c r="G29" s="101" t="s">
        <v>107</v>
      </c>
      <c r="H29" s="101" t="s">
        <v>107</v>
      </c>
      <c r="I29" s="124">
        <f>IF('норм втрати'!$I$39-'норм втрати'!$J$39=0,0,('норм втрати'!$I$37*'норм втрати'!$I$39-'норм втрати'!$J$37*'норм втрати'!$J$39)/('норм втрати'!$I$39-'норм втрати'!$J$39))</f>
        <v>0</v>
      </c>
    </row>
    <row r="30" spans="1:9" ht="30" x14ac:dyDescent="0.25">
      <c r="A30" s="175">
        <v>19</v>
      </c>
      <c r="B30" s="133" t="s">
        <v>432</v>
      </c>
      <c r="C30" s="115" t="s">
        <v>100</v>
      </c>
      <c r="D30" s="432">
        <f>IF(($D$19+$D$20+$D$21+$D$22+$D$23)=0,0,($D$19*$D$24+$D$20*$D$25+$D$21*$D$26+$D$22*$D$27+$D$23*$D$32)/($D$19+$D$20+$D$21+$D$22+$D$23))</f>
        <v>33.647636419201923</v>
      </c>
      <c r="E30" s="101" t="s">
        <v>107</v>
      </c>
      <c r="F30" s="115" t="s">
        <v>107</v>
      </c>
      <c r="G30" s="103" t="e">
        <f>IF((G19+G20+G21+G22+G23)=0,0,(G19*G24+G20*G25+G21*G26+G22*G27+G23*G32)/(G19+G20+G21+G22+G23))</f>
        <v>#VALUE!</v>
      </c>
      <c r="H30" s="101" t="s">
        <v>107</v>
      </c>
      <c r="I30" s="115" t="s">
        <v>107</v>
      </c>
    </row>
    <row r="31" spans="1:9" ht="30" x14ac:dyDescent="0.25">
      <c r="A31" s="266">
        <v>20</v>
      </c>
      <c r="B31" s="133" t="s">
        <v>433</v>
      </c>
      <c r="C31" s="115" t="s">
        <v>100</v>
      </c>
      <c r="D31" s="432">
        <f>IF((D21+D22+D23)=0,0,(D21*D26+D22*D27+D23*D33)/(D21+D22+D23))</f>
        <v>0</v>
      </c>
      <c r="E31" s="101" t="s">
        <v>107</v>
      </c>
      <c r="F31" s="115" t="s">
        <v>107</v>
      </c>
      <c r="G31" s="103" t="e">
        <f>IF((G21+G22+G23)=0,0,(G21*G26+G22*G27+G23*G33)/(G21+G22+G23))</f>
        <v>#VALUE!</v>
      </c>
      <c r="H31" s="101" t="s">
        <v>107</v>
      </c>
      <c r="I31" s="115" t="s">
        <v>107</v>
      </c>
    </row>
    <row r="32" spans="1:9" ht="45" x14ac:dyDescent="0.25">
      <c r="A32" s="264">
        <v>21</v>
      </c>
      <c r="B32" s="131" t="s">
        <v>434</v>
      </c>
      <c r="C32" s="121" t="s">
        <v>100</v>
      </c>
      <c r="D32" s="437">
        <f>'норм втрати'!$J$38</f>
        <v>5</v>
      </c>
      <c r="E32" s="107">
        <f>'норм втрати'!$J$38</f>
        <v>5</v>
      </c>
      <c r="F32" s="121" t="s">
        <v>107</v>
      </c>
      <c r="G32" s="107">
        <f>'норм втрати'!$J$38</f>
        <v>5</v>
      </c>
      <c r="H32" s="107">
        <f>'норм втрати'!$J$38</f>
        <v>5</v>
      </c>
      <c r="I32" s="121" t="s">
        <v>107</v>
      </c>
    </row>
    <row r="33" spans="1:9" ht="45.75" thickBot="1" x14ac:dyDescent="0.3">
      <c r="A33" s="267">
        <v>22</v>
      </c>
      <c r="B33" s="265" t="s">
        <v>454</v>
      </c>
      <c r="C33" s="121" t="s">
        <v>100</v>
      </c>
      <c r="D33" s="433">
        <f>IF('норм втрати'!$I$39-'норм втрати'!$J$39=0,0,('норм втрати'!$I$39*'норм втрати'!$I$38-'норм втрати'!$J$38*'норм втрати'!$J$39)/('норм втрати'!$I$39-'норм втрати'!$J$39))</f>
        <v>0</v>
      </c>
      <c r="E33" s="117">
        <f>IF('норм втрати'!$I$39-'норм втрати'!$J$39=0,0,('норм втрати'!$I$39*'норм втрати'!$I$38-'норм втрати'!$J$38*'норм втрати'!$J$39)/('норм втрати'!$I$39-'норм втрати'!$J$39))</f>
        <v>0</v>
      </c>
      <c r="F33" s="118" t="s">
        <v>107</v>
      </c>
      <c r="G33" s="117">
        <f>IF('норм втрати'!$I$39-'норм втрати'!$J$39=0,0,('норм втрати'!$I$39*'норм втрати'!$I$38-'норм втрати'!$J$38*'норм втрати'!$J$39)/('норм втрати'!$I$39-'норм втрати'!$J$39))</f>
        <v>0</v>
      </c>
      <c r="H33" s="117">
        <f>IF('норм втрати'!$I$39-'норм втрати'!$J$39=0,0,('норм втрати'!$I$39*'норм втрати'!$I$38-'норм втрати'!$J$38*'норм втрати'!$J$39)/('норм втрати'!$I$39-'норм втрати'!$J$39))</f>
        <v>0</v>
      </c>
      <c r="I33" s="118" t="s">
        <v>107</v>
      </c>
    </row>
    <row r="34" spans="1:9" ht="30" x14ac:dyDescent="0.25">
      <c r="A34" s="178">
        <v>23</v>
      </c>
      <c r="B34" s="132" t="s">
        <v>87</v>
      </c>
      <c r="C34" s="114" t="s">
        <v>101</v>
      </c>
      <c r="D34" s="425" t="s">
        <v>107</v>
      </c>
      <c r="E34" s="113" t="s">
        <v>107</v>
      </c>
      <c r="F34" s="114">
        <v>29</v>
      </c>
      <c r="G34" s="113" t="s">
        <v>107</v>
      </c>
      <c r="H34" s="113" t="s">
        <v>107</v>
      </c>
      <c r="I34" s="114">
        <v>29</v>
      </c>
    </row>
    <row r="35" spans="1:9" ht="30" x14ac:dyDescent="0.25">
      <c r="A35" s="175">
        <v>24</v>
      </c>
      <c r="B35" s="133" t="s">
        <v>115</v>
      </c>
      <c r="C35" s="115" t="s">
        <v>101</v>
      </c>
      <c r="D35" s="426">
        <v>8</v>
      </c>
      <c r="E35" s="101" t="s">
        <v>107</v>
      </c>
      <c r="F35" s="115" t="s">
        <v>107</v>
      </c>
      <c r="G35" s="101">
        <v>8</v>
      </c>
      <c r="H35" s="101" t="s">
        <v>107</v>
      </c>
      <c r="I35" s="115" t="s">
        <v>107</v>
      </c>
    </row>
    <row r="36" spans="1:9" x14ac:dyDescent="0.25">
      <c r="A36" s="175">
        <v>25</v>
      </c>
      <c r="B36" s="133" t="s">
        <v>116</v>
      </c>
      <c r="C36" s="115" t="s">
        <v>102</v>
      </c>
      <c r="D36" s="419">
        <v>2.56</v>
      </c>
      <c r="E36" s="319">
        <v>0</v>
      </c>
      <c r="F36" s="115" t="s">
        <v>107</v>
      </c>
      <c r="G36" s="319">
        <v>0</v>
      </c>
      <c r="H36" s="319">
        <v>2.56</v>
      </c>
      <c r="I36" s="115" t="s">
        <v>107</v>
      </c>
    </row>
    <row r="37" spans="1:9" ht="15.75" thickBot="1" x14ac:dyDescent="0.3">
      <c r="A37" s="176">
        <v>26</v>
      </c>
      <c r="B37" s="134" t="s">
        <v>119</v>
      </c>
      <c r="C37" s="118" t="s">
        <v>102</v>
      </c>
      <c r="D37" s="424">
        <v>2.04</v>
      </c>
      <c r="E37" s="116" t="s">
        <v>107</v>
      </c>
      <c r="F37" s="118" t="s">
        <v>107</v>
      </c>
      <c r="G37" s="323">
        <v>0</v>
      </c>
      <c r="H37" s="116" t="s">
        <v>107</v>
      </c>
      <c r="I37" s="118" t="s">
        <v>107</v>
      </c>
    </row>
    <row r="38" spans="1:9" ht="15.75" thickBot="1" x14ac:dyDescent="0.3">
      <c r="A38" s="178">
        <v>27</v>
      </c>
      <c r="B38" s="132" t="s">
        <v>88</v>
      </c>
      <c r="C38" s="114" t="s">
        <v>45</v>
      </c>
      <c r="D38" s="423">
        <v>0.01</v>
      </c>
      <c r="E38" s="322">
        <v>0</v>
      </c>
      <c r="F38" s="324">
        <v>0</v>
      </c>
      <c r="G38" s="322">
        <v>0</v>
      </c>
      <c r="H38" s="322">
        <v>0.05</v>
      </c>
      <c r="I38" s="324">
        <v>0</v>
      </c>
    </row>
    <row r="39" spans="1:9" x14ac:dyDescent="0.25">
      <c r="A39" s="175">
        <v>28</v>
      </c>
      <c r="B39" s="133" t="s">
        <v>89</v>
      </c>
      <c r="C39" s="115" t="s">
        <v>45</v>
      </c>
      <c r="D39" s="419">
        <v>0.01</v>
      </c>
      <c r="E39" s="319">
        <v>0</v>
      </c>
      <c r="F39" s="320">
        <v>0</v>
      </c>
      <c r="G39" s="319">
        <v>0</v>
      </c>
      <c r="H39" s="322">
        <v>0.05</v>
      </c>
      <c r="I39" s="320">
        <v>0</v>
      </c>
    </row>
    <row r="40" spans="1:9" x14ac:dyDescent="0.25">
      <c r="A40" s="175">
        <v>29</v>
      </c>
      <c r="B40" s="133" t="s">
        <v>90</v>
      </c>
      <c r="C40" s="115" t="s">
        <v>45</v>
      </c>
      <c r="D40" s="419">
        <v>0</v>
      </c>
      <c r="E40" s="319">
        <v>0</v>
      </c>
      <c r="F40" s="320">
        <v>0</v>
      </c>
      <c r="G40" s="319">
        <v>0</v>
      </c>
      <c r="H40" s="319">
        <v>0</v>
      </c>
      <c r="I40" s="320">
        <v>0</v>
      </c>
    </row>
    <row r="41" spans="1:9" ht="30.75" thickBot="1" x14ac:dyDescent="0.3">
      <c r="A41" s="176">
        <v>30</v>
      </c>
      <c r="B41" s="134" t="s">
        <v>91</v>
      </c>
      <c r="C41" s="118" t="s">
        <v>45</v>
      </c>
      <c r="D41" s="424">
        <v>0</v>
      </c>
      <c r="E41" s="323">
        <v>0</v>
      </c>
      <c r="F41" s="325">
        <v>0</v>
      </c>
      <c r="G41" s="323">
        <v>0</v>
      </c>
      <c r="H41" s="323">
        <v>0</v>
      </c>
      <c r="I41" s="325">
        <v>0</v>
      </c>
    </row>
    <row r="42" spans="1:9" ht="30.75" thickBot="1" x14ac:dyDescent="0.3">
      <c r="A42" s="178">
        <v>31</v>
      </c>
      <c r="B42" s="132" t="s">
        <v>92</v>
      </c>
      <c r="C42" s="114" t="s">
        <v>102</v>
      </c>
      <c r="D42" s="319">
        <v>5.8999999999999997E-2</v>
      </c>
      <c r="E42" s="319">
        <v>0</v>
      </c>
      <c r="F42" s="324">
        <v>0</v>
      </c>
      <c r="G42" s="423">
        <v>0</v>
      </c>
      <c r="H42" s="407">
        <v>3.5999999999999997E-2</v>
      </c>
      <c r="I42" s="324">
        <v>0</v>
      </c>
    </row>
    <row r="43" spans="1:9" ht="30.75" thickBot="1" x14ac:dyDescent="0.3">
      <c r="A43" s="175">
        <v>32</v>
      </c>
      <c r="B43" s="133" t="s">
        <v>93</v>
      </c>
      <c r="C43" s="115" t="s">
        <v>102</v>
      </c>
      <c r="D43" s="319">
        <v>5.7000000000000002E-2</v>
      </c>
      <c r="E43" s="319">
        <v>0</v>
      </c>
      <c r="F43" s="324">
        <v>0</v>
      </c>
      <c r="G43" s="419">
        <v>0</v>
      </c>
      <c r="H43" s="408">
        <v>3.5999999999999997E-2</v>
      </c>
      <c r="I43" s="320">
        <v>0</v>
      </c>
    </row>
    <row r="44" spans="1:9" ht="30.75" thickBot="1" x14ac:dyDescent="0.3">
      <c r="A44" s="175">
        <v>33</v>
      </c>
      <c r="B44" s="133" t="s">
        <v>94</v>
      </c>
      <c r="C44" s="115" t="s">
        <v>102</v>
      </c>
      <c r="D44" s="319">
        <f>(0.052+0.0002*D26)*1.1</f>
        <v>6.93E-2</v>
      </c>
      <c r="E44" s="319">
        <v>0</v>
      </c>
      <c r="F44" s="324">
        <v>0</v>
      </c>
      <c r="G44" s="419">
        <v>0</v>
      </c>
      <c r="H44" s="408">
        <v>0</v>
      </c>
      <c r="I44" s="320">
        <v>0</v>
      </c>
    </row>
    <row r="45" spans="1:9" ht="30.75" thickBot="1" x14ac:dyDescent="0.3">
      <c r="A45" s="176">
        <v>34</v>
      </c>
      <c r="B45" s="134" t="s">
        <v>95</v>
      </c>
      <c r="C45" s="118" t="s">
        <v>102</v>
      </c>
      <c r="D45" s="319">
        <f>(0.052+0.0002*D27)*1.1</f>
        <v>6.6000000000000003E-2</v>
      </c>
      <c r="E45" s="319">
        <v>0</v>
      </c>
      <c r="F45" s="324">
        <v>0</v>
      </c>
      <c r="G45" s="424">
        <v>0</v>
      </c>
      <c r="H45" s="408">
        <v>0</v>
      </c>
      <c r="I45" s="325">
        <v>0</v>
      </c>
    </row>
    <row r="46" spans="1:9" ht="30.75" hidden="1" customHeight="1" x14ac:dyDescent="0.25">
      <c r="A46" s="179"/>
      <c r="B46" s="135" t="s">
        <v>139</v>
      </c>
      <c r="C46" s="105" t="s">
        <v>117</v>
      </c>
      <c r="D46" s="141">
        <f>IF(D5=0,0,IF(D42=0,0,LN((D5+2*D38)/D5)/(2*3.1416*(D42))+1/3.14/(D5+2*D38)/D35))</f>
        <v>0.21301950877934361</v>
      </c>
      <c r="E46" s="141">
        <f>IF(E5=0,0,IF(E42=0,0,LN((E5+2*E38)/E5)/(2*3.1416*E42)))</f>
        <v>0</v>
      </c>
      <c r="F46" s="142">
        <f>IF(F5=0,0,IF(F42=0,0,LN((F5+2*F38)/F5)/(2*3.1416*(F42))+1/3.14/(F5+2*F38)/F34))</f>
        <v>0</v>
      </c>
      <c r="G46" s="141">
        <f>IF(G5=0,0,IF(G42=0,0,LN((G5+2*G38)/G5)/(2*3.1416*(G42))+1/3.14/(G5+2*G38)/G35))</f>
        <v>0</v>
      </c>
      <c r="H46" s="141">
        <f>IF(H5=0,0,IF(H42=0,0,LN((H5+2*H38)/H5)/(2*3.1416*H42)))</f>
        <v>0.98650878230046335</v>
      </c>
      <c r="I46" s="142">
        <f>IF(I5=0,0,IF(I42=0,0,LN((I5+2*I38)/I5)/(2*3.1416*(I42))+1/3.14/(I5+2*I38)/I34))</f>
        <v>0</v>
      </c>
    </row>
    <row r="47" spans="1:9" ht="30.75" hidden="1" customHeight="1" x14ac:dyDescent="0.25">
      <c r="A47" s="180"/>
      <c r="B47" s="133" t="s">
        <v>140</v>
      </c>
      <c r="C47" s="101" t="s">
        <v>117</v>
      </c>
      <c r="D47" s="103">
        <f>IF(D6=0,0,IF(D43=0,0,LN((D6+2*D39)/D6)/(2*3.1416*(D43))+1/3.14/(D6+2*D39)/D35))</f>
        <v>0.21736202972326105</v>
      </c>
      <c r="E47" s="103">
        <f>IF(E6=0,0,IF(E43=0,0,LN((E6+2*E39)/E6)/(2*3.1416*E43)))</f>
        <v>0</v>
      </c>
      <c r="F47" s="124">
        <f>IF(F6=0,0,IF(F43=0,0,LN((F6+2*F39)/F6)/(2*3.1416*(F43))+1/3.14/(F6+2*F39)/F34))</f>
        <v>0</v>
      </c>
      <c r="G47" s="103">
        <f>IF(G6=0,0,IF(G43=0,0,LN((G6+2*G39)/G6)/(2*3.1416*(G43))+1/3.14/(G6+2*G39)/G35))</f>
        <v>0</v>
      </c>
      <c r="H47" s="103">
        <f>IF(H6=0,0,IF(H43=0,0,LN((H6+2*H39)/H6)/(2*3.1416*H43)))</f>
        <v>0.98650878230046335</v>
      </c>
      <c r="I47" s="124">
        <f>IF(I6=0,0,IF(I43=0,0,LN((I6+2*I39)/I6)/(2*3.1416*(I43))+1/3.14/(I6+2*I39)/I34))</f>
        <v>0</v>
      </c>
    </row>
    <row r="48" spans="1:9" ht="30.75" hidden="1" customHeight="1" x14ac:dyDescent="0.25">
      <c r="A48" s="180"/>
      <c r="B48" s="133" t="s">
        <v>142</v>
      </c>
      <c r="C48" s="101" t="s">
        <v>117</v>
      </c>
      <c r="D48" s="103">
        <f>IF(D7=0,0,IF(D44=0,0,LN((D7+2*D40)/D7)/(2*3.1416*(D44))+1/3.14/(D7+2*D40)/D35))</f>
        <v>0</v>
      </c>
      <c r="E48" s="103">
        <f>IF(E7=0,0,IF(E44=0,0,LN((E7+2*E40)/E7)/(2*3.1416*E44)))</f>
        <v>0</v>
      </c>
      <c r="F48" s="124">
        <f>IF(F7=0,0,IF(F44=0,0,LN((F7+2*F40)/F7)/(2*3.1416*(F44))+1/3.14/(F7+2*F40)/F34))</f>
        <v>0</v>
      </c>
      <c r="G48" s="103">
        <f>IF(G7=0,0,IF(G44=0,0,LN((G7+2*G40)/G7)/(2*3.1416*(G44))+1/3.14/(G7+2*G40)/G35))</f>
        <v>0</v>
      </c>
      <c r="H48" s="103">
        <f>IF(H7=0,0,IF(H44=0,0,LN((H7+2*H40)/H7)/(2*3.1416*H44)))</f>
        <v>0</v>
      </c>
      <c r="I48" s="124">
        <f>IF(I7=0,0,IF(I44=0,0,LN((I7+2*I40)/I7)/(2*3.1416*(I44))+1/3.14/(I7+2*I40)/I34))</f>
        <v>0</v>
      </c>
    </row>
    <row r="49" spans="1:10" ht="30.75" hidden="1" customHeight="1" thickBot="1" x14ac:dyDescent="0.3">
      <c r="A49" s="180"/>
      <c r="B49" s="134" t="s">
        <v>141</v>
      </c>
      <c r="C49" s="116" t="s">
        <v>117</v>
      </c>
      <c r="D49" s="117">
        <f>IF(D8=0,0,IF(D45=0,0,LN((D8+2*D41)/D8)/(2*3.1416*(D45))+1/3.14/(D8+2*D41)/D35))</f>
        <v>0</v>
      </c>
      <c r="E49" s="117">
        <f>IF(E8=0,0,IF(E45=0,0,LN((E8+2*E41)/E8)/(2*3.1416*E45)))</f>
        <v>0</v>
      </c>
      <c r="F49" s="125">
        <f>IF(F8=0,0,IF(F45=0,0,LN((F8+2*F41)/F8)/(2*3.1416*(F45))+1/3.14/(F8+2*F41)/F34))</f>
        <v>0</v>
      </c>
      <c r="G49" s="117">
        <f>IF(G8=0,0,IF(G45=0,0,LN((G8+2*G41)/G8)/(2*3.1416*(G45))+1/3.14/(G8+2*G41)/G35))</f>
        <v>0</v>
      </c>
      <c r="H49" s="117">
        <f>IF(H8=0,0,IF(H45=0,0,LN((H8+2*H41)/H8)/(2*3.1416*H45)))</f>
        <v>0</v>
      </c>
      <c r="I49" s="125">
        <f>IF(I8=0,0,IF(I45=0,0,LN((I8+2*I41)/I8)/(2*3.1416*(I45))+1/3.14/(I8+2*I41)/I34))</f>
        <v>0</v>
      </c>
    </row>
    <row r="50" spans="1:10" ht="16.5" hidden="1" customHeight="1" x14ac:dyDescent="0.25">
      <c r="A50" s="180"/>
      <c r="B50" s="135" t="s">
        <v>128</v>
      </c>
      <c r="C50" s="105" t="s">
        <v>117</v>
      </c>
      <c r="D50" s="112">
        <f>D51+D52+D53+D54</f>
        <v>0.14564017486004122</v>
      </c>
      <c r="E50" s="105" t="s">
        <v>107</v>
      </c>
      <c r="F50" s="105" t="s">
        <v>107</v>
      </c>
      <c r="G50" s="112" t="e">
        <f>G51+G52+G53+G54</f>
        <v>#VALUE!</v>
      </c>
      <c r="H50" s="105" t="s">
        <v>107</v>
      </c>
      <c r="I50" s="105" t="s">
        <v>107</v>
      </c>
    </row>
    <row r="51" spans="1:10" ht="16.5" hidden="1" customHeight="1" x14ac:dyDescent="0.25">
      <c r="A51" s="180"/>
      <c r="B51" s="133" t="s">
        <v>129</v>
      </c>
      <c r="C51" s="101" t="s">
        <v>117</v>
      </c>
      <c r="D51" s="107">
        <f>IF(D17=0,0,1/3.1416/D35/D17)</f>
        <v>3.0946722123192712E-2</v>
      </c>
      <c r="E51" s="101" t="s">
        <v>107</v>
      </c>
      <c r="F51" s="101" t="s">
        <v>107</v>
      </c>
      <c r="G51" s="107">
        <f>IF(G17=0,0,1/3.1416/G35/G17)</f>
        <v>0</v>
      </c>
      <c r="H51" s="101" t="s">
        <v>107</v>
      </c>
      <c r="I51" s="101" t="s">
        <v>107</v>
      </c>
    </row>
    <row r="52" spans="1:10" ht="24.75" hidden="1" customHeight="1" x14ac:dyDescent="0.25">
      <c r="A52" s="180"/>
      <c r="B52" s="133" t="s">
        <v>130</v>
      </c>
      <c r="C52" s="101" t="s">
        <v>117</v>
      </c>
      <c r="D52" s="110">
        <f>IF(D37=0,"ввести терм. опір кан",IF(D37=0,0,IF(D17=0,"ввести розмір каналу",1/2/3.1416/D37*LN(D18/D17))))</f>
        <v>1.2362571939487292E-3</v>
      </c>
      <c r="E52" s="101" t="s">
        <v>107</v>
      </c>
      <c r="F52" s="101" t="s">
        <v>107</v>
      </c>
      <c r="G52" s="110" t="str">
        <f>IF(G37=0,"ввести терм. опір кан",IF(G37=0,0,IF(G17=0,"ввести розмір каналу",1/2/3.1416/G37*LN(G18/G17))))</f>
        <v>ввести терм. опір кан</v>
      </c>
      <c r="H52" s="101" t="s">
        <v>107</v>
      </c>
      <c r="I52" s="101" t="s">
        <v>107</v>
      </c>
    </row>
    <row r="53" spans="1:10" ht="42" hidden="1" customHeight="1" x14ac:dyDescent="0.25">
      <c r="A53" s="180"/>
      <c r="B53" s="133" t="s">
        <v>131</v>
      </c>
      <c r="C53" s="101" t="s">
        <v>117</v>
      </c>
      <c r="D53" s="110">
        <f>IF(D9-(D13+D12/2)&lt;0.7,0,IF(D36=0,"ввести теплопров грунта",IF(D18=0,"ввести роз каналу",IF(D9/D18&gt;2,1/2/3.1416/D36*LN(4*D9/D18),1/2/3.1416/D36*LN(2*D9*SQRT(4*D9*D9-D18*D18)/D18)))))</f>
        <v>0.11345719554289976</v>
      </c>
      <c r="E53" s="101" t="s">
        <v>107</v>
      </c>
      <c r="F53" s="101" t="s">
        <v>107</v>
      </c>
      <c r="G53" s="110">
        <f>IF(G9-(G13+G12/2)&lt;0.7,0,IF(G36=0,"ввести теплопров грунта",IF(G18=0,"ввести роз каналу",IF(G9/G18&gt;2,1/2/3.1416/G36*LN(4*G9/G18),1/2/3.1416/G36*LN(2*G9*SQRT(4*G9*G9-G18*G18)/G18)))))</f>
        <v>0</v>
      </c>
      <c r="H53" s="101" t="s">
        <v>107</v>
      </c>
      <c r="I53" s="101" t="s">
        <v>107</v>
      </c>
    </row>
    <row r="54" spans="1:10" ht="48" hidden="1" customHeight="1" thickBot="1" x14ac:dyDescent="0.3">
      <c r="A54" s="180"/>
      <c r="B54" s="131" t="s">
        <v>132</v>
      </c>
      <c r="C54" s="104" t="s">
        <v>117</v>
      </c>
      <c r="D54" s="107">
        <f>IF(D9-(D13+D12/2)&gt;0.7,0,IF(D36=0,"ввести теплопров грунта",IF(D18=0,"ввести роз каналу",IF(D9/D18&gt;2,1/2/3.1416/D36*LN(4*D10/D18),1/2/3.1416/D36*LN(2*D10*SQRT(4*D10*D10-D18*D18)/D18)))))</f>
        <v>0</v>
      </c>
      <c r="E54" s="104" t="s">
        <v>107</v>
      </c>
      <c r="F54" s="104" t="s">
        <v>107</v>
      </c>
      <c r="G54" s="107" t="str">
        <f>IF(G9-(G13+G12/2)&gt;0.7,0,IF(G36=0,"ввести теплопров грунта",IF(G18=0,"ввести роз каналу",IF(G9/G18&gt;2,1/2/3.1416/G36*LN(4*G10/G18),1/2/3.1416/G36*LN(2*G10*SQRT(4*G10*G10-G18*G18)/G18)))))</f>
        <v>ввести теплопров грунта</v>
      </c>
      <c r="H54" s="104" t="s">
        <v>107</v>
      </c>
      <c r="I54" s="104" t="s">
        <v>107</v>
      </c>
    </row>
    <row r="55" spans="1:10" ht="15" hidden="1" customHeight="1" x14ac:dyDescent="0.25">
      <c r="A55" s="180"/>
      <c r="B55" s="132" t="s">
        <v>143</v>
      </c>
      <c r="C55" s="113" t="s">
        <v>117</v>
      </c>
      <c r="D55" s="113" t="s">
        <v>107</v>
      </c>
      <c r="E55" s="119">
        <f>IF(E36=0,0,IF(E14=0,0,1/3.1416/2/E36*LN(SQRT(1+4*E9*E9/E14/E14))))</f>
        <v>0</v>
      </c>
      <c r="F55" s="114" t="s">
        <v>107</v>
      </c>
      <c r="G55" s="113" t="s">
        <v>107</v>
      </c>
      <c r="H55" s="119">
        <f>IF(H36=0,0,IF(H14=0,0,1/3.1416/2/H36*LN(SQRT(1+4*H9*H9/H14/H14))))</f>
        <v>0.12581379096844902</v>
      </c>
      <c r="I55" s="114" t="s">
        <v>107</v>
      </c>
    </row>
    <row r="56" spans="1:10" ht="15" hidden="1" customHeight="1" x14ac:dyDescent="0.25">
      <c r="A56" s="180"/>
      <c r="B56" s="133" t="s">
        <v>144</v>
      </c>
      <c r="C56" s="101" t="s">
        <v>117</v>
      </c>
      <c r="D56" s="101" t="s">
        <v>107</v>
      </c>
      <c r="E56" s="120">
        <f>IF(E36=0,0,IF(E15=0,0,1/3.1416/2/E36*LN(SQRT(1+4*E9*E9/E15/E15))))</f>
        <v>0</v>
      </c>
      <c r="F56" s="115" t="s">
        <v>107</v>
      </c>
      <c r="G56" s="101" t="s">
        <v>107</v>
      </c>
      <c r="H56" s="120">
        <f>IF(H36=0,0,IF(H15=0,0,1/3.1416/2/H36*LN(SQRT(1+4*H9*H9/H15/H15))))</f>
        <v>0</v>
      </c>
      <c r="I56" s="115" t="s">
        <v>107</v>
      </c>
    </row>
    <row r="57" spans="1:10" ht="15" hidden="1" customHeight="1" thickBot="1" x14ac:dyDescent="0.3">
      <c r="A57" s="180"/>
      <c r="B57" s="131" t="s">
        <v>145</v>
      </c>
      <c r="C57" s="104" t="s">
        <v>117</v>
      </c>
      <c r="D57" s="104" t="s">
        <v>107</v>
      </c>
      <c r="E57" s="110">
        <f>IF(E36=0,0,IF(E16=0,0,1/3.1416/2/E36*LN(SQRT(1+4*E9*E9/E16/E16))))</f>
        <v>0</v>
      </c>
      <c r="F57" s="121" t="s">
        <v>107</v>
      </c>
      <c r="G57" s="104" t="s">
        <v>107</v>
      </c>
      <c r="H57" s="110">
        <f>IF(H36=0,0,IF(H16=0,0,1/3.1416/2/H36*LN(SQRT(1+4*H9*H9/H16/H16))))</f>
        <v>0</v>
      </c>
      <c r="I57" s="121" t="s">
        <v>107</v>
      </c>
    </row>
    <row r="58" spans="1:10" ht="31.5" hidden="1" customHeight="1" x14ac:dyDescent="0.25">
      <c r="A58" s="180"/>
      <c r="B58" s="132" t="s">
        <v>146</v>
      </c>
      <c r="C58" s="113" t="s">
        <v>117</v>
      </c>
      <c r="D58" s="113" t="s">
        <v>107</v>
      </c>
      <c r="E58" s="119">
        <f>IF(E36=0,0,IF(E5+2*E38=0,0,1/2/3.1416/E36*LN(4*E9/(E5+2*E38))))</f>
        <v>0</v>
      </c>
      <c r="F58" s="114" t="s">
        <v>107</v>
      </c>
      <c r="G58" s="113" t="s">
        <v>107</v>
      </c>
      <c r="H58" s="119">
        <f>IF(H36=0,0,IF(H5+2*H38=0,0,1/2/3.1416/H36*LN(4*H9/(H5+2*H38))))</f>
        <v>0.15448603578963549</v>
      </c>
      <c r="I58" s="114" t="s">
        <v>107</v>
      </c>
    </row>
    <row r="59" spans="1:10" ht="33" hidden="1" customHeight="1" x14ac:dyDescent="0.25">
      <c r="A59" s="180"/>
      <c r="B59" s="133" t="s">
        <v>147</v>
      </c>
      <c r="C59" s="101" t="s">
        <v>117</v>
      </c>
      <c r="D59" s="101" t="s">
        <v>107</v>
      </c>
      <c r="E59" s="120">
        <f>IF(E36=0,0,IF(E6+2*E39=0,0,1/2/3.1416/E36*LN(4*E9/(E6+2*E39))))</f>
        <v>0</v>
      </c>
      <c r="F59" s="115" t="s">
        <v>107</v>
      </c>
      <c r="G59" s="101" t="s">
        <v>107</v>
      </c>
      <c r="H59" s="120">
        <f>IF(H36=0,0,IF(H6+2*H39=0,0,1/2/3.1416/H36*LN(4*H9/(H6+2*H39))))</f>
        <v>0.15448603578963549</v>
      </c>
      <c r="I59" s="115" t="s">
        <v>107</v>
      </c>
    </row>
    <row r="60" spans="1:10" ht="25.5" hidden="1" customHeight="1" x14ac:dyDescent="0.25">
      <c r="A60" s="180"/>
      <c r="B60" s="133" t="s">
        <v>148</v>
      </c>
      <c r="C60" s="101" t="s">
        <v>117</v>
      </c>
      <c r="D60" s="101" t="s">
        <v>107</v>
      </c>
      <c r="E60" s="120">
        <f>IF(E36=0,0,IF(E7+2*E40=0,0,1/2/3.1416/E36*LN(4*E9/(E7+2*E40))))</f>
        <v>0</v>
      </c>
      <c r="F60" s="115" t="s">
        <v>107</v>
      </c>
      <c r="G60" s="101" t="s">
        <v>107</v>
      </c>
      <c r="H60" s="120">
        <f>IF(H36=0,0,IF(H7+2*H40=0,0,1/2/3.1416/H36*LN(4*H9/(H7+2*H40))))</f>
        <v>0</v>
      </c>
      <c r="I60" s="115" t="s">
        <v>107</v>
      </c>
      <c r="J60">
        <f>((H25-H32)*(H46+H58)-(H24-H32)*H55)/(H46+H58)*(H47+H59)</f>
        <v>36.717099646003525</v>
      </c>
    </row>
    <row r="61" spans="1:10" ht="15" hidden="1" customHeight="1" thickBot="1" x14ac:dyDescent="0.3">
      <c r="A61" s="181"/>
      <c r="B61" s="131" t="s">
        <v>149</v>
      </c>
      <c r="C61" s="104" t="s">
        <v>117</v>
      </c>
      <c r="D61" s="104" t="s">
        <v>107</v>
      </c>
      <c r="E61" s="110">
        <f>IF(E36=0,0,IF(E8+2*E41=0,0,1/2/3.1416/E36*LN(4*E9/(E8+2*E41))))</f>
        <v>0</v>
      </c>
      <c r="F61" s="121" t="s">
        <v>107</v>
      </c>
      <c r="G61" s="104" t="s">
        <v>107</v>
      </c>
      <c r="H61" s="110">
        <f>IF(H36=0,0,IF(H8+2*H41=0,0,1/2/3.1416/H36*LN(4*H9/(H8+2*H41))))</f>
        <v>0</v>
      </c>
      <c r="I61" s="121" t="s">
        <v>107</v>
      </c>
    </row>
    <row r="62" spans="1:10" s="145" customFormat="1" ht="30" x14ac:dyDescent="0.25">
      <c r="A62" s="182">
        <v>35</v>
      </c>
      <c r="B62" s="143" t="s">
        <v>96</v>
      </c>
      <c r="C62" s="306" t="s">
        <v>134</v>
      </c>
      <c r="D62" s="310">
        <f>IF($D$5+$D$6+$D$7+$D$8=0,0,(($D$24-$D$30)*$D$19+($D$25-$D$30)*$D$20+($D$26-$D$30)*$D$21+($D$27-$D$30)*$D$22)/1.163)</f>
        <v>169.1328198978178</v>
      </c>
      <c r="E62" s="308">
        <f>IF(E5=0,0,IF(E6=0,(E24-E32)/(E46+E58),((E24-E32)*(E47+E59)-(E25-E32)*E55)/((E46+E58)*(E47+E59)-E55*E55)))/1.163</f>
        <v>0</v>
      </c>
      <c r="F62" s="151">
        <f>IF(F46=0,0,(F24-F28)/F46/1.163)</f>
        <v>0</v>
      </c>
      <c r="G62" s="399">
        <f>IF(G5+G6+G7+G8=0,0,((G24-G30)*G19+(G25-G30)*G20+(G26-G30)*G21+(G27-G30)*G22)/1.163)</f>
        <v>0</v>
      </c>
      <c r="H62" s="396">
        <f>IF(H5=0,0,IF(H6=0,(H24-H32)/(H46+H58),((H24-H32)*(H47+H59)-(H25-H32)*H55)/((H46+H58)*(H47+H59)-H55*H55)))/1.163</f>
        <v>38.169463751777087</v>
      </c>
      <c r="I62" s="151">
        <f>IF(I46=0,0,(I24-I28)/I46/1.163)</f>
        <v>0</v>
      </c>
    </row>
    <row r="63" spans="1:10" s="145" customFormat="1" ht="30" x14ac:dyDescent="0.25">
      <c r="A63" s="183">
        <v>36</v>
      </c>
      <c r="B63" s="146" t="s">
        <v>97</v>
      </c>
      <c r="C63" s="404" t="s">
        <v>135</v>
      </c>
      <c r="D63" s="401"/>
      <c r="E63" s="406">
        <f>IF(E6=0,0,IF(E7+E5=0,(E25-E32)/(E47+E59),IF(E7=0,((E25-E32)*(E46+E58)-(E24-E32)*E55)/((E46+E58)*(E47+E59)-E55*E55),IF(E5=0,((E25-E32)*(E48+E60)-(E26-E32)*E56)/((E48+E60)*(E47+E59)-E56*E56),((E25-E32)*(E46+E58)*(E48+E60)-(E24-E32)*E55-(E26-E32)*E56)/((E46+E58)*(E47+E59)*(E48+E60)-(E55+E56)*(E55+E56))))))/1.163</f>
        <v>0</v>
      </c>
      <c r="F63" s="152">
        <f>IF(F47=0,0,(F25-F28)/F47/1.163)</f>
        <v>0</v>
      </c>
      <c r="G63" s="400"/>
      <c r="H63" s="397">
        <f>IF(H6=0,0,IF(H7+H5=0,(H25-H32)/(H47+H59),IF(H7=0,((H25-H32)*(H46+H58)-(H24-H32)*H55)/((H46+H58)*(H47+H59)-H55*H55),IF(H5=0,((H25-H32)*(H48+H60)-(H26-H32)*H56)/((H48+H60)*(H47+H59)-H56*H56),((H25-H32)*(H46+H58)*(H48+H60)-(H24-H32)*H55-(H26-H32)*H56)/((H46+H58)*(H47+H59)*(H48+H60)-(H55+H56)*(H55+H56))))))/1.163</f>
        <v>24.549019717852666</v>
      </c>
      <c r="I63" s="152">
        <f>IF(I47=0,0,(I25-I28)/I47/1.163)</f>
        <v>0</v>
      </c>
    </row>
    <row r="64" spans="1:10" s="145" customFormat="1" x14ac:dyDescent="0.25">
      <c r="A64" s="183">
        <v>37</v>
      </c>
      <c r="B64" s="263" t="s">
        <v>437</v>
      </c>
      <c r="C64" s="404" t="s">
        <v>134</v>
      </c>
      <c r="D64" s="401"/>
      <c r="E64" s="406">
        <f>IF(E7=0,0,IF(E8+E6=0,(E26-E32)/(E48+E60),IF(E8=0,((E26-E32)*(E47+E59)-(E25-E32)*E56)/((E47+E59)*(E48+E60)-E56*E56),IF(E6=0,((E26-E32)*(E49+E61)-(E27-E32)*E57)/((E49+E61)*(E48+E60)-E57*E57),((E26-E32)*(E47+E59)*(E49+E61)-(E25-E32)*E56-(E27-E32)*E57)/((E47+E59)*(E48+E60)*(E49+E61)-(E56+E57)*(E56+E57))))))/1.163</f>
        <v>0</v>
      </c>
      <c r="F64" s="152">
        <f>IF($F$48=0,0,($F$26-$F$28)/$F$48/1.163)</f>
        <v>0</v>
      </c>
      <c r="G64" s="400"/>
      <c r="H64" s="397">
        <f>IF(H7=0,0,IF(H8+H6=0,(H26-H32)/(H48+H60),IF(H8=0,((H26-H32)*(H47+H59)-(H25-H32)*H56)/((H47+H59)*(H48+H60)-H56*H56),IF(H6=0,((H26-H32)*(H49+H61)-(H27-H32)*H57)/((H49+H61)*(H48+H60)-H57*H57),((H26-H32)*(H47+H59)*(H49+H61)-(H25-H32)*H56-(H27-H32)*H57)/((H47+H59)*(H48+H60)*(H49+H61)-(H56+H57)*(H56+H57))))))/1.163</f>
        <v>0</v>
      </c>
      <c r="I64" s="152">
        <f>IF(I48=0,0,(I26-I28)/I48/1.163)</f>
        <v>0</v>
      </c>
    </row>
    <row r="65" spans="1:9" s="145" customFormat="1" ht="30.75" thickBot="1" x14ac:dyDescent="0.3">
      <c r="A65" s="268">
        <v>38</v>
      </c>
      <c r="B65" s="269" t="s">
        <v>438</v>
      </c>
      <c r="C65" s="405" t="s">
        <v>135</v>
      </c>
      <c r="D65" s="311"/>
      <c r="E65" s="309">
        <f>IF(E8=0,0,IF(E7=0,(E27-E32)/(E49+E61),((E27-E32)*(E48+E60)-(E26-E32)*E57)/((E48+E60)*(E49+E61)-E57*E57)))/1.163</f>
        <v>0</v>
      </c>
      <c r="F65" s="153">
        <f>IF($F$49=0,0,($F$27-$F$28)/$F$49/1.163)</f>
        <v>0</v>
      </c>
      <c r="G65" s="400"/>
      <c r="H65" s="398">
        <f>IF(H8=0,0,IF(H7=0,(H27-H32)/(H49+H61),((H27-H32)*(H48+H60)-(H26-H32)*H57)/((H48+H60)*(H49+H61)-H57*H57)))/1.163</f>
        <v>0</v>
      </c>
      <c r="I65" s="153">
        <f>IF(I49=0,0,(I27-I28)/I49/1.163)</f>
        <v>0</v>
      </c>
    </row>
    <row r="66" spans="1:9" x14ac:dyDescent="0.25">
      <c r="A66" s="272">
        <v>39</v>
      </c>
      <c r="B66" s="270" t="s">
        <v>460</v>
      </c>
      <c r="C66" s="306" t="s">
        <v>134</v>
      </c>
      <c r="D66" s="401">
        <f>IF(D7+D8=0,0,((D26-D31)*D21+(D27-D31)*D22)/1.163)</f>
        <v>0</v>
      </c>
      <c r="E66" s="402">
        <f>IF(E7=0,0,IF(E8=0,(E26-E33)/(E48+E60),((E26-E33)*(E49+E61)-(E27-E33)*E57)/((E49+E61)*(E48+E60)-E57*E57)))/1.163</f>
        <v>0</v>
      </c>
      <c r="F66" s="403">
        <f>IF(F48=0,0,(F26-F29)/F48/1.163)</f>
        <v>0</v>
      </c>
      <c r="G66" s="394">
        <f>IF(G7+G8=0,0,((G26-G31)*G21+(G27-G31)*G22)/1.163)</f>
        <v>0</v>
      </c>
      <c r="H66" s="396">
        <f>IF(H7=0,0,IF(H8=0,(H26-H33)/(H48+H60),((H26-H33)*(H49+H61)-(H27-H33)*H57)/((H49+H61)*(H48+H60)-H57*H57)))/1.163</f>
        <v>0</v>
      </c>
      <c r="I66" s="151">
        <f>IF(I48=0,0,(I26-I29)/I48/1.163)</f>
        <v>0</v>
      </c>
    </row>
    <row r="67" spans="1:9" ht="30.75" thickBot="1" x14ac:dyDescent="0.3">
      <c r="A67" s="273">
        <v>40</v>
      </c>
      <c r="B67" s="271" t="s">
        <v>461</v>
      </c>
      <c r="C67" s="307" t="s">
        <v>135</v>
      </c>
      <c r="D67" s="311"/>
      <c r="E67" s="398">
        <f>IF(E8=0,0,IF(E7=0,(E27-E33)/(E49+E61),((E27-E33)*(E48+E60)-(E26-E33)*E57)/((E48+E60)*(E49+E61)-E57*E57)))/1.163</f>
        <v>0</v>
      </c>
      <c r="F67" s="312">
        <f>IF(F49=0,0,(F27-F29)/F49/1.163)</f>
        <v>0</v>
      </c>
      <c r="G67" s="395"/>
      <c r="H67" s="398">
        <f>IF(H8=0,0,IF(H7=0,(H27-H33)/(H49+H61),((H27-H33)*(H48+H60)-(H26-H33)*H57)/((H48+H60)*(H49+H61)-H57*H57)))/1.163</f>
        <v>0</v>
      </c>
      <c r="I67" s="153">
        <f>IF(I49=0,0,(I27-I29)/I49/1.163)</f>
        <v>0</v>
      </c>
    </row>
  </sheetData>
  <sheetProtection password="CC5D" sheet="1"/>
  <mergeCells count="5">
    <mergeCell ref="A2:A3"/>
    <mergeCell ref="B2:C2"/>
    <mergeCell ref="D2:F2"/>
    <mergeCell ref="G2:I2"/>
    <mergeCell ref="B1:I1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opLeftCell="B1" workbookViewId="0">
      <selection activeCell="C26" sqref="C26"/>
    </sheetView>
  </sheetViews>
  <sheetFormatPr defaultRowHeight="15" x14ac:dyDescent="0.25"/>
  <cols>
    <col min="1" max="1" width="9.140625" style="172"/>
    <col min="2" max="2" width="75.28515625" style="172" customWidth="1"/>
    <col min="3" max="3" width="21" style="172" customWidth="1"/>
    <col min="4" max="4" width="19.85546875" style="172" customWidth="1"/>
    <col min="5" max="5" width="20.85546875" style="172" customWidth="1"/>
    <col min="6" max="6" width="9.140625" style="172"/>
    <col min="7" max="7" width="11.5703125" style="172" bestFit="1" customWidth="1"/>
    <col min="8" max="16384" width="9.140625" style="172"/>
  </cols>
  <sheetData>
    <row r="1" spans="1:7" x14ac:dyDescent="0.25">
      <c r="A1" s="557" t="s">
        <v>471</v>
      </c>
      <c r="B1" s="557"/>
      <c r="C1" s="557"/>
      <c r="D1" s="557"/>
      <c r="E1" s="557"/>
    </row>
    <row r="2" spans="1:7" ht="15.75" thickBot="1" x14ac:dyDescent="0.3">
      <c r="E2" s="172" t="s">
        <v>451</v>
      </c>
    </row>
    <row r="3" spans="1:7" ht="45" x14ac:dyDescent="0.25">
      <c r="A3" s="275" t="s">
        <v>439</v>
      </c>
      <c r="B3" s="113" t="s">
        <v>103</v>
      </c>
      <c r="C3" s="113" t="s">
        <v>168</v>
      </c>
      <c r="D3" s="113" t="s">
        <v>169</v>
      </c>
      <c r="E3" s="114" t="s">
        <v>170</v>
      </c>
    </row>
    <row r="4" spans="1:7" ht="15.75" thickBot="1" x14ac:dyDescent="0.3">
      <c r="A4" s="446">
        <v>1</v>
      </c>
      <c r="B4" s="104">
        <v>2</v>
      </c>
      <c r="C4" s="104">
        <v>3</v>
      </c>
      <c r="D4" s="104">
        <v>4</v>
      </c>
      <c r="E4" s="121">
        <v>5</v>
      </c>
    </row>
    <row r="5" spans="1:7" x14ac:dyDescent="0.25">
      <c r="A5" s="275">
        <v>1</v>
      </c>
      <c r="B5" s="297" t="s">
        <v>457</v>
      </c>
      <c r="C5" s="301">
        <f>'норм втрати'!$I$39*24</f>
        <v>4200</v>
      </c>
      <c r="D5" s="239">
        <f>C5</f>
        <v>4200</v>
      </c>
      <c r="E5" s="240">
        <f>C5</f>
        <v>4200</v>
      </c>
    </row>
    <row r="6" spans="1:7" x14ac:dyDescent="0.25">
      <c r="A6" s="294">
        <v>2</v>
      </c>
      <c r="B6" s="295" t="s">
        <v>417</v>
      </c>
      <c r="C6" s="274">
        <f>('норм втрати'!C66+'норм втрати'!D66+'норм втрати'!C88+'норм втрати'!D88)*2+'норм втрати'!C112+'норм втрати'!D112+'норм втрати'!C136+'норм втрати'!D136</f>
        <v>0</v>
      </c>
      <c r="D6" s="234">
        <f>C6</f>
        <v>0</v>
      </c>
      <c r="E6" s="293">
        <f>C6</f>
        <v>0</v>
      </c>
    </row>
    <row r="7" spans="1:7" x14ac:dyDescent="0.25">
      <c r="A7" s="294">
        <v>3</v>
      </c>
      <c r="B7" s="378" t="s">
        <v>463</v>
      </c>
      <c r="C7" s="313">
        <v>5614.85</v>
      </c>
      <c r="D7" s="234">
        <f>C7</f>
        <v>5614.85</v>
      </c>
      <c r="E7" s="293">
        <f>C7</f>
        <v>5614.85</v>
      </c>
      <c r="F7" s="553"/>
      <c r="G7" s="558"/>
    </row>
    <row r="8" spans="1:7" x14ac:dyDescent="0.25">
      <c r="A8" s="294">
        <v>4</v>
      </c>
      <c r="B8" s="378" t="s">
        <v>464</v>
      </c>
      <c r="C8" s="313">
        <v>4740.12</v>
      </c>
      <c r="D8" s="234">
        <f>C8</f>
        <v>4740.12</v>
      </c>
      <c r="E8" s="293">
        <f>C8</f>
        <v>4740.12</v>
      </c>
      <c r="F8" s="553"/>
      <c r="G8" s="558"/>
    </row>
    <row r="9" spans="1:7" ht="42.75" customHeight="1" x14ac:dyDescent="0.25">
      <c r="A9" s="294">
        <v>5</v>
      </c>
      <c r="B9" s="378" t="s">
        <v>474</v>
      </c>
      <c r="C9" s="313">
        <v>160.21</v>
      </c>
      <c r="D9" s="234">
        <f>C9</f>
        <v>160.21</v>
      </c>
      <c r="E9" s="293">
        <f>C9</f>
        <v>160.21</v>
      </c>
      <c r="F9" s="559"/>
      <c r="G9" s="552"/>
    </row>
    <row r="10" spans="1:7" ht="27" customHeight="1" thickBot="1" x14ac:dyDescent="0.3">
      <c r="A10" s="276">
        <v>6</v>
      </c>
      <c r="B10" s="298" t="s">
        <v>175</v>
      </c>
      <c r="C10" s="243" t="e">
        <f>D10*('розрах втрат магістр тр.'!D59+'розрах втрат магістр тр.'!E59+'розрах втрат магістр тр.'!E60+'розрах втрат магістр тр.'!F59+'розрах втрат магістр тр.'!F60)/('норм втрати'!G66+'норм втрати'!H66+'норм втрати'!G88+'норм втрати'!H88+'норм втрати'!G112+'норм втрати'!H112+'норм втрати'!G136+'норм втрати'!H136)</f>
        <v>#DIV/0!</v>
      </c>
      <c r="D10" s="243">
        <f>('норм втрати'!K66+'норм втрати'!L66+'норм втрати'!K88+'норм втрати'!L88+'норм втрати'!K112+'норм втрати'!L112+'норм втрати'!K136+'норм втрати'!L136)</f>
        <v>0</v>
      </c>
      <c r="E10" s="244" t="e">
        <f>D10*('розрах втрат магістр тр.'!G59+'розрах втрат магістр тр.'!H59+'розрах втрат магістр тр.'!H60+'розрах втрат магістр тр.'!I59+'розрах втрат магістр тр.'!I60)/('норм втрати'!G66+'норм втрати'!H66+'норм втрати'!G88+'норм втрати'!H88+'норм втрати'!G112+'норм втрати'!H112+'норм втрати'!G136+'норм втрати'!H136)</f>
        <v>#DIV/0!</v>
      </c>
    </row>
    <row r="11" spans="1:7" ht="30" customHeight="1" x14ac:dyDescent="0.25">
      <c r="A11" s="275">
        <v>7</v>
      </c>
      <c r="B11" s="297" t="s">
        <v>171</v>
      </c>
      <c r="C11" s="239" t="s">
        <v>107</v>
      </c>
      <c r="D11" s="239" t="s">
        <v>107</v>
      </c>
      <c r="E11" s="240" t="e">
        <f>(C10-E10)*E9</f>
        <v>#DIV/0!</v>
      </c>
    </row>
    <row r="12" spans="1:7" ht="33.75" customHeight="1" thickBot="1" x14ac:dyDescent="0.3">
      <c r="A12" s="276">
        <v>8</v>
      </c>
      <c r="B12" s="298" t="s">
        <v>172</v>
      </c>
      <c r="C12" s="243" t="s">
        <v>107</v>
      </c>
      <c r="D12" s="243" t="s">
        <v>107</v>
      </c>
      <c r="E12" s="244" t="e">
        <f>E11*C8/1000</f>
        <v>#DIV/0!</v>
      </c>
    </row>
    <row r="13" spans="1:7" ht="29.25" customHeight="1" x14ac:dyDescent="0.25">
      <c r="A13" s="275">
        <v>9</v>
      </c>
      <c r="B13" s="297" t="s">
        <v>173</v>
      </c>
      <c r="C13" s="239" t="s">
        <v>107</v>
      </c>
      <c r="D13" s="239" t="s">
        <v>107</v>
      </c>
      <c r="E13" s="240" t="e">
        <f>(D10-E10)*E9</f>
        <v>#DIV/0!</v>
      </c>
    </row>
    <row r="14" spans="1:7" ht="45" customHeight="1" thickBot="1" x14ac:dyDescent="0.3">
      <c r="A14" s="276">
        <v>10</v>
      </c>
      <c r="B14" s="298" t="s">
        <v>453</v>
      </c>
      <c r="C14" s="243" t="s">
        <v>107</v>
      </c>
      <c r="D14" s="243" t="s">
        <v>107</v>
      </c>
      <c r="E14" s="244" t="e">
        <f>E13*E8/1000</f>
        <v>#DIV/0!</v>
      </c>
    </row>
    <row r="15" spans="1:7" ht="32.25" customHeight="1" x14ac:dyDescent="0.25">
      <c r="A15" s="447">
        <v>11</v>
      </c>
      <c r="B15" s="299" t="s">
        <v>472</v>
      </c>
      <c r="C15" s="314"/>
      <c r="D15" s="245">
        <f>C15</f>
        <v>0</v>
      </c>
      <c r="E15" s="414">
        <v>0</v>
      </c>
    </row>
    <row r="16" spans="1:7" ht="18" customHeight="1" x14ac:dyDescent="0.25">
      <c r="A16" s="294">
        <v>12</v>
      </c>
      <c r="B16" s="295" t="s">
        <v>473</v>
      </c>
      <c r="C16" s="313"/>
      <c r="D16" s="234">
        <f>C16</f>
        <v>0</v>
      </c>
      <c r="E16" s="293">
        <v>0</v>
      </c>
    </row>
    <row r="17" spans="1:5" ht="18" customHeight="1" x14ac:dyDescent="0.25">
      <c r="A17" s="294">
        <v>13</v>
      </c>
      <c r="B17" s="295" t="s">
        <v>174</v>
      </c>
      <c r="C17" s="234">
        <f>C16*C15*C6/1000</f>
        <v>0</v>
      </c>
      <c r="D17" s="234">
        <f>C17</f>
        <v>0</v>
      </c>
      <c r="E17" s="293">
        <v>0</v>
      </c>
    </row>
    <row r="18" spans="1:5" ht="18" customHeight="1" x14ac:dyDescent="0.25">
      <c r="A18" s="294">
        <v>14</v>
      </c>
      <c r="B18" s="185" t="s">
        <v>452</v>
      </c>
      <c r="C18" s="234" t="s">
        <v>107</v>
      </c>
      <c r="D18" s="234" t="s">
        <v>107</v>
      </c>
      <c r="E18" s="316">
        <v>647222</v>
      </c>
    </row>
    <row r="19" spans="1:5" x14ac:dyDescent="0.25">
      <c r="A19" s="294">
        <v>15</v>
      </c>
      <c r="B19" s="295" t="s">
        <v>470</v>
      </c>
      <c r="C19" s="313"/>
      <c r="D19" s="234">
        <f>C19</f>
        <v>0</v>
      </c>
      <c r="E19" s="415">
        <f>E23</f>
        <v>9575727</v>
      </c>
    </row>
    <row r="20" spans="1:5" ht="18.75" customHeight="1" thickBot="1" x14ac:dyDescent="0.3">
      <c r="A20" s="446">
        <v>16</v>
      </c>
      <c r="B20" s="296" t="s">
        <v>465</v>
      </c>
      <c r="C20" s="315"/>
      <c r="D20" s="315"/>
      <c r="E20" s="417">
        <f>E23/10</f>
        <v>957572.7</v>
      </c>
    </row>
    <row r="21" spans="1:5" ht="27.75" customHeight="1" x14ac:dyDescent="0.25">
      <c r="A21" s="275">
        <v>17</v>
      </c>
      <c r="B21" s="297" t="s">
        <v>466</v>
      </c>
      <c r="C21" s="239" t="s">
        <v>107</v>
      </c>
      <c r="D21" s="239" t="s">
        <v>107</v>
      </c>
      <c r="E21" s="240" t="e">
        <f>E12+C17-C20+E20</f>
        <v>#DIV/0!</v>
      </c>
    </row>
    <row r="22" spans="1:5" ht="33" customHeight="1" x14ac:dyDescent="0.25">
      <c r="A22" s="294">
        <v>18</v>
      </c>
      <c r="B22" s="295" t="s">
        <v>467</v>
      </c>
      <c r="C22" s="234" t="s">
        <v>107</v>
      </c>
      <c r="D22" s="234" t="s">
        <v>107</v>
      </c>
      <c r="E22" s="293" t="e">
        <f>E14+D17+E18-D20+E20</f>
        <v>#DIV/0!</v>
      </c>
    </row>
    <row r="23" spans="1:5" x14ac:dyDescent="0.25">
      <c r="A23" s="294">
        <v>19</v>
      </c>
      <c r="B23" s="295" t="s">
        <v>468</v>
      </c>
      <c r="C23" s="234" t="s">
        <v>107</v>
      </c>
      <c r="D23" s="234" t="s">
        <v>107</v>
      </c>
      <c r="E23" s="316">
        <v>9575727</v>
      </c>
    </row>
    <row r="24" spans="1:5" ht="15.75" thickBot="1" x14ac:dyDescent="0.3">
      <c r="A24" s="276">
        <v>20</v>
      </c>
      <c r="B24" s="298" t="s">
        <v>469</v>
      </c>
      <c r="C24" s="243" t="s">
        <v>107</v>
      </c>
      <c r="D24" s="243" t="s">
        <v>107</v>
      </c>
      <c r="E24" s="244" t="e">
        <f>IF(E22=0,0,1+(E23-E22)/(E22-E18))</f>
        <v>#DIV/0!</v>
      </c>
    </row>
  </sheetData>
  <sheetProtection password="CC5D" sheet="1"/>
  <mergeCells count="4">
    <mergeCell ref="A1:E1"/>
    <mergeCell ref="F7:G7"/>
    <mergeCell ref="F8:G8"/>
    <mergeCell ref="F9:G9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topLeftCell="B1" zoomScaleNormal="100" workbookViewId="0">
      <selection activeCell="E23" sqref="E23"/>
    </sheetView>
  </sheetViews>
  <sheetFormatPr defaultRowHeight="15" x14ac:dyDescent="0.25"/>
  <cols>
    <col min="1" max="1" width="9.140625" style="172"/>
    <col min="2" max="2" width="78.28515625" style="172" customWidth="1"/>
    <col min="3" max="3" width="21" style="172" customWidth="1"/>
    <col min="4" max="4" width="19.85546875" style="172" customWidth="1"/>
    <col min="5" max="5" width="20.85546875" style="172" customWidth="1"/>
    <col min="6" max="6" width="11.5703125" style="172" bestFit="1" customWidth="1"/>
    <col min="7" max="16384" width="9.140625" style="172"/>
  </cols>
  <sheetData>
    <row r="1" spans="1:6" x14ac:dyDescent="0.25">
      <c r="A1" s="557" t="s">
        <v>440</v>
      </c>
      <c r="B1" s="557"/>
      <c r="C1" s="557"/>
      <c r="D1" s="557"/>
      <c r="E1" s="557"/>
    </row>
    <row r="2" spans="1:6" ht="15.75" thickBot="1" x14ac:dyDescent="0.3">
      <c r="B2" s="172" t="s">
        <v>484</v>
      </c>
      <c r="E2" s="172" t="s">
        <v>451</v>
      </c>
    </row>
    <row r="3" spans="1:6" ht="45" x14ac:dyDescent="0.25">
      <c r="A3" s="237" t="s">
        <v>439</v>
      </c>
      <c r="B3" s="238" t="s">
        <v>103</v>
      </c>
      <c r="C3" s="238" t="s">
        <v>168</v>
      </c>
      <c r="D3" s="238" t="s">
        <v>169</v>
      </c>
      <c r="E3" s="410" t="s">
        <v>170</v>
      </c>
    </row>
    <row r="4" spans="1:6" ht="15.75" thickBot="1" x14ac:dyDescent="0.3">
      <c r="A4" s="411">
        <v>1</v>
      </c>
      <c r="B4" s="300">
        <v>2</v>
      </c>
      <c r="C4" s="300">
        <v>3</v>
      </c>
      <c r="D4" s="300">
        <v>4</v>
      </c>
      <c r="E4" s="412">
        <v>5</v>
      </c>
    </row>
    <row r="5" spans="1:6" x14ac:dyDescent="0.25">
      <c r="A5" s="237">
        <v>1</v>
      </c>
      <c r="B5" s="238" t="s">
        <v>456</v>
      </c>
      <c r="C5" s="301">
        <f>'норм втрати'!$J$39*24</f>
        <v>4200</v>
      </c>
      <c r="D5" s="239">
        <f t="shared" ref="D5:D10" si="0">C5</f>
        <v>4200</v>
      </c>
      <c r="E5" s="240">
        <f t="shared" ref="E5:E10" si="1">C5</f>
        <v>4200</v>
      </c>
    </row>
    <row r="6" spans="1:6" x14ac:dyDescent="0.25">
      <c r="A6" s="292">
        <v>2</v>
      </c>
      <c r="B6" s="185" t="s">
        <v>485</v>
      </c>
      <c r="C6" s="274">
        <f>'норм втрати'!$I$39*24</f>
        <v>4200</v>
      </c>
      <c r="D6" s="234">
        <f t="shared" si="0"/>
        <v>4200</v>
      </c>
      <c r="E6" s="293">
        <f t="shared" si="1"/>
        <v>4200</v>
      </c>
    </row>
    <row r="7" spans="1:6" x14ac:dyDescent="0.25">
      <c r="A7" s="292">
        <v>3</v>
      </c>
      <c r="B7" s="185" t="s">
        <v>417</v>
      </c>
      <c r="C7" s="274">
        <f>('норм втрати'!C160+'норм втрати'!D160)*2+('норм втрати'!C184+'норм втрати'!D184)*2+'норм втрати'!C208+'норм втрати'!D208+'норм втрати'!C232+'норм втрати'!D232+'норм втрати'!C256+'норм втрати'!D256+'норм втрати'!E256+'норм втрати'!F256+'норм втрати'!C280+'норм втрати'!D280+'норм втрати'!E280+'норм втрати'!C304+'норм втрати'!D304+'норм втрати'!E304+'норм втрати'!F304</f>
        <v>504</v>
      </c>
      <c r="D7" s="234">
        <f t="shared" si="0"/>
        <v>504</v>
      </c>
      <c r="E7" s="293">
        <f t="shared" si="1"/>
        <v>504</v>
      </c>
    </row>
    <row r="8" spans="1:6" x14ac:dyDescent="0.25">
      <c r="A8" s="292">
        <v>4</v>
      </c>
      <c r="B8" s="185" t="s">
        <v>463</v>
      </c>
      <c r="C8" s="313">
        <v>5614.85</v>
      </c>
      <c r="D8" s="234">
        <f t="shared" si="0"/>
        <v>5614.85</v>
      </c>
      <c r="E8" s="293">
        <f t="shared" si="1"/>
        <v>5614.85</v>
      </c>
    </row>
    <row r="9" spans="1:6" x14ac:dyDescent="0.25">
      <c r="A9" s="292">
        <v>5</v>
      </c>
      <c r="B9" s="185" t="s">
        <v>464</v>
      </c>
      <c r="C9" s="313">
        <v>5153.6499999999996</v>
      </c>
      <c r="D9" s="234">
        <f t="shared" si="0"/>
        <v>5153.6499999999996</v>
      </c>
      <c r="E9" s="293">
        <f t="shared" si="1"/>
        <v>5153.6499999999996</v>
      </c>
    </row>
    <row r="10" spans="1:6" ht="30.75" customHeight="1" x14ac:dyDescent="0.25">
      <c r="A10" s="292">
        <v>6</v>
      </c>
      <c r="B10" s="185" t="s">
        <v>462</v>
      </c>
      <c r="C10" s="313">
        <v>160.21</v>
      </c>
      <c r="D10" s="234">
        <f t="shared" si="0"/>
        <v>160.21</v>
      </c>
      <c r="E10" s="293">
        <f t="shared" si="1"/>
        <v>160.21</v>
      </c>
    </row>
    <row r="11" spans="1:6" ht="27" customHeight="1" thickBot="1" x14ac:dyDescent="0.3">
      <c r="A11" s="241">
        <v>7</v>
      </c>
      <c r="B11" s="242" t="s">
        <v>175</v>
      </c>
      <c r="C11" s="243">
        <f>D11*(('розрах втрат УТ3-УТ7'!D62+'розрах втрат УТ3-УТ7'!E62+'розрах втрат УТ3-УТ7'!E63+'розрах втрат УТ3-УТ7'!E64+'розрах втрат УТ3-УТ7'!E65+'розрах втрат УТ3-УТ7'!F62+'розрах втрат УТ3-УТ7'!F63+'розрах втрат УТ3-УТ7'!F64+'розрах втрат УТ3-УТ7'!F65)*'норм втрати'!J39/'норм втрати'!I39+'розрах втрат УТ3-УТ7'!D66+('розрах втрат УТ3-УТ7'!E66+'розрах втрат УТ3-УТ7'!E67+'розрах втрат УТ3-УТ7'!F66+'розрах втрат УТ3-УТ7'!F67)*('норм втрати'!I39-'норм втрати'!J39)/'норм втрати'!I39)/(('норм втрати'!G160+'норм втрати'!H160+'норм втрати'!G184+'норм втрати'!H184+'норм втрати'!G208+'норм втрати'!H208+'норм втрати'!G232+'норм втрати'!H232+'норм втрати'!G256+'норм втрати'!H256+'норм втрати'!I256+'норм втрати'!J256+'норм втрати'!G280+'норм втрати'!H280+'норм втрати'!I280+'норм втрати'!J280+'норм втрати'!G304+'норм втрати'!H304+'норм втрати'!I304+'норм втрати'!J304)*'норм втрати'!J39/'норм втрати'!I39+('норм втрати'!G256+'норм втрати'!H256+'норм втрати'!I256+'норм втрати'!J256+'норм втрати'!G280+'норм втрати'!H280+'норм втрати'!I280+'норм втрати'!J280+'норм втрати'!G304+'норм втрати'!H304+'норм втрати'!I304+'норм втрати'!J304)*('норм втрати'!I39-'норм втрати'!J39)/'норм втрати'!I39)</f>
        <v>205.86170306682789</v>
      </c>
      <c r="D11" s="409">
        <f>'норм втрати'!K160+'норм втрати'!L160+'норм втрати'!K184+'норм втрати'!L184+'норм втрати'!K208+'норм втрати'!L208+'норм втрати'!K232+'норм втрати'!L232+'норм втрати'!K256+'норм втрати'!L256+'норм втрати'!M256+'норм втрати'!N256+'норм втрати'!K280+'норм втрати'!L280+'норм втрати'!M280+'норм втрати'!N280+'норм втрати'!K304+'норм втрати'!L304+'норм втрати'!M304+'норм втрати'!N304</f>
        <v>151.562251231142</v>
      </c>
      <c r="E11" s="244">
        <f>D11*(('розрах втрат УТ3-УТ7'!G62+'розрах втрат УТ3-УТ7'!H62+'розрах втрат УТ3-УТ7'!H63+'розрах втрат УТ3-УТ7'!H64+'розрах втрат УТ3-УТ7'!H65+'розрах втрат УТ3-УТ7'!I62+'розрах втрат УТ3-УТ7'!I63+'розрах втрат УТ3-УТ7'!I64+'розрах втрат УТ3-УТ7'!I65)*'норм втрати'!J39/'норм втрати'!I39+('розрах втрат УТ3-УТ7'!G66+'розрах втрат УТ3-УТ7'!H66+'розрах втрат УТ3-УТ7'!H67+'розрах втрат УТ3-УТ7'!I66+'розрах втрат УТ3-УТ7'!I67)*('норм втрати'!I39-'норм втрати'!J39)/'норм втрати'!I39)/(('норм втрати'!G160+'норм втрати'!H160+'норм втрати'!G184+'норм втрати'!H184+'норм втрати'!G208+'норм втрати'!H208+'норм втрати'!G232+'норм втрати'!H232+'норм втрати'!G256+'норм втрати'!H256+'норм втрати'!I256+'норм втрати'!J256+'норм втрати'!G280+'норм втрати'!H280+'норм втрати'!I280+'норм втрати'!J280+'норм втрати'!G304+'норм втрати'!H304+'норм втрати'!I304+'норм втрати'!J304)*'норм втрати'!J39/'норм втрати'!I39+('норм втрати'!G256+'норм втрати'!H256+'норм втрати'!I256+'норм втрати'!J256+'норм втрати'!G280+'норм втрати'!H280+'норм втрати'!I280+'норм втрати'!J280+'норм втрати'!G304+'норм втрати'!H304+'норм втрати'!I304+'норм втрати'!J304)*('норм втрати'!I39-'норм втрати'!J39)/'норм втрати'!I39)</f>
        <v>76.338429339894532</v>
      </c>
      <c r="F11" s="277"/>
    </row>
    <row r="12" spans="1:6" ht="31.5" customHeight="1" x14ac:dyDescent="0.25">
      <c r="A12" s="237">
        <v>8</v>
      </c>
      <c r="B12" s="238" t="s">
        <v>171</v>
      </c>
      <c r="C12" s="239" t="s">
        <v>107</v>
      </c>
      <c r="D12" s="239" t="s">
        <v>107</v>
      </c>
      <c r="E12" s="240">
        <f>(C11-E11)*E10</f>
        <v>20750.923683791993</v>
      </c>
    </row>
    <row r="13" spans="1:6" ht="29.25" customHeight="1" thickBot="1" x14ac:dyDescent="0.3">
      <c r="A13" s="241">
        <v>9</v>
      </c>
      <c r="B13" s="242" t="s">
        <v>172</v>
      </c>
      <c r="C13" s="243" t="s">
        <v>107</v>
      </c>
      <c r="D13" s="243" t="s">
        <v>107</v>
      </c>
      <c r="E13" s="244">
        <f>E12*C9/1000</f>
        <v>106942.99784297458</v>
      </c>
    </row>
    <row r="14" spans="1:6" ht="28.5" customHeight="1" x14ac:dyDescent="0.25">
      <c r="A14" s="237">
        <v>10</v>
      </c>
      <c r="B14" s="238" t="s">
        <v>173</v>
      </c>
      <c r="C14" s="239" t="s">
        <v>107</v>
      </c>
      <c r="D14" s="239" t="s">
        <v>107</v>
      </c>
      <c r="E14" s="240">
        <f>(D11-E11)*E10</f>
        <v>12051.608505196757</v>
      </c>
    </row>
    <row r="15" spans="1:6" ht="33.75" customHeight="1" thickBot="1" x14ac:dyDescent="0.3">
      <c r="A15" s="241">
        <v>11</v>
      </c>
      <c r="B15" s="242" t="s">
        <v>453</v>
      </c>
      <c r="C15" s="243" t="s">
        <v>107</v>
      </c>
      <c r="D15" s="243" t="s">
        <v>107</v>
      </c>
      <c r="E15" s="244">
        <f>E14*E9/1000</f>
        <v>62109.772172807265</v>
      </c>
    </row>
    <row r="16" spans="1:6" ht="32.25" customHeight="1" x14ac:dyDescent="0.25">
      <c r="A16" s="413">
        <v>12</v>
      </c>
      <c r="B16" s="236" t="s">
        <v>472</v>
      </c>
      <c r="C16" s="314">
        <v>0</v>
      </c>
      <c r="D16" s="245">
        <f>C16</f>
        <v>0</v>
      </c>
      <c r="E16" s="414">
        <v>0</v>
      </c>
    </row>
    <row r="17" spans="1:5" ht="18" customHeight="1" x14ac:dyDescent="0.25">
      <c r="A17" s="292">
        <v>13</v>
      </c>
      <c r="B17" s="185" t="s">
        <v>473</v>
      </c>
      <c r="C17" s="313">
        <v>0</v>
      </c>
      <c r="D17" s="234">
        <f>C17</f>
        <v>0</v>
      </c>
      <c r="E17" s="293">
        <v>0</v>
      </c>
    </row>
    <row r="18" spans="1:5" ht="18" customHeight="1" x14ac:dyDescent="0.25">
      <c r="A18" s="292">
        <v>14</v>
      </c>
      <c r="B18" s="185" t="s">
        <v>174</v>
      </c>
      <c r="C18" s="234">
        <f>C17*C16*C7/1000</f>
        <v>0</v>
      </c>
      <c r="D18" s="234">
        <f>C18</f>
        <v>0</v>
      </c>
      <c r="E18" s="293">
        <v>0</v>
      </c>
    </row>
    <row r="19" spans="1:5" ht="18" customHeight="1" x14ac:dyDescent="0.25">
      <c r="A19" s="292">
        <v>15</v>
      </c>
      <c r="B19" s="185" t="s">
        <v>452</v>
      </c>
      <c r="C19" s="234" t="s">
        <v>107</v>
      </c>
      <c r="D19" s="234" t="s">
        <v>107</v>
      </c>
      <c r="E19" s="316">
        <v>647222</v>
      </c>
    </row>
    <row r="20" spans="1:5" x14ac:dyDescent="0.25">
      <c r="A20" s="292">
        <v>16</v>
      </c>
      <c r="B20" s="185" t="s">
        <v>470</v>
      </c>
      <c r="C20" s="313">
        <v>0</v>
      </c>
      <c r="D20" s="234">
        <f>C20</f>
        <v>0</v>
      </c>
      <c r="E20" s="415">
        <f>E24</f>
        <v>9575727</v>
      </c>
    </row>
    <row r="21" spans="1:5" ht="18.75" customHeight="1" thickBot="1" x14ac:dyDescent="0.3">
      <c r="A21" s="416">
        <v>17</v>
      </c>
      <c r="B21" s="235" t="s">
        <v>465</v>
      </c>
      <c r="C21" s="315">
        <v>0</v>
      </c>
      <c r="D21" s="315"/>
      <c r="E21" s="316">
        <v>957572.7</v>
      </c>
    </row>
    <row r="22" spans="1:5" ht="27.75" customHeight="1" x14ac:dyDescent="0.25">
      <c r="A22" s="237">
        <v>18</v>
      </c>
      <c r="B22" s="238" t="s">
        <v>466</v>
      </c>
      <c r="C22" s="239" t="s">
        <v>107</v>
      </c>
      <c r="D22" s="239" t="s">
        <v>107</v>
      </c>
      <c r="E22" s="240">
        <f>E13+C18+E19-C21+E21</f>
        <v>1711737.6978429747</v>
      </c>
    </row>
    <row r="23" spans="1:5" ht="33" customHeight="1" x14ac:dyDescent="0.25">
      <c r="A23" s="292">
        <v>19</v>
      </c>
      <c r="B23" s="185" t="s">
        <v>467</v>
      </c>
      <c r="C23" s="234" t="s">
        <v>107</v>
      </c>
      <c r="D23" s="234" t="s">
        <v>107</v>
      </c>
      <c r="E23" s="293">
        <f>E15+D18+E19-D21+E21</f>
        <v>1666904.4721728072</v>
      </c>
    </row>
    <row r="24" spans="1:5" x14ac:dyDescent="0.25">
      <c r="A24" s="292">
        <v>20</v>
      </c>
      <c r="B24" s="185" t="s">
        <v>468</v>
      </c>
      <c r="C24" s="234" t="s">
        <v>107</v>
      </c>
      <c r="D24" s="234" t="s">
        <v>107</v>
      </c>
      <c r="E24" s="316">
        <v>9575727</v>
      </c>
    </row>
    <row r="25" spans="1:5" ht="15.75" thickBot="1" x14ac:dyDescent="0.3">
      <c r="A25" s="241">
        <v>21</v>
      </c>
      <c r="B25" s="242" t="s">
        <v>469</v>
      </c>
      <c r="C25" s="243" t="s">
        <v>107</v>
      </c>
      <c r="D25" s="243" t="s">
        <v>107</v>
      </c>
      <c r="E25" s="244">
        <f>IF(E23=0,0,1+(E24-E23)/(E23-E19))</f>
        <v>8.7561620834518692</v>
      </c>
    </row>
  </sheetData>
  <sheetProtection password="CC5D" sheet="1"/>
  <mergeCells count="1">
    <mergeCell ref="A1:E1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87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M218"/>
  <sheetViews>
    <sheetView workbookViewId="0">
      <selection activeCell="E8" sqref="E8"/>
    </sheetView>
  </sheetViews>
  <sheetFormatPr defaultRowHeight="15" x14ac:dyDescent="0.25"/>
  <cols>
    <col min="3" max="3" width="33.28515625" customWidth="1"/>
  </cols>
  <sheetData>
    <row r="1" spans="2:13" ht="44.25" customHeight="1" x14ac:dyDescent="0.25">
      <c r="B1" s="204"/>
      <c r="C1" s="578" t="s">
        <v>208</v>
      </c>
      <c r="D1" s="579"/>
      <c r="E1" s="579"/>
      <c r="F1" s="579"/>
      <c r="G1" s="579"/>
      <c r="H1" s="579"/>
      <c r="I1" s="579"/>
      <c r="J1" s="579"/>
      <c r="K1" s="579"/>
      <c r="L1" s="579"/>
      <c r="M1" s="580"/>
    </row>
    <row r="2" spans="2:13" ht="17.25" customHeight="1" thickBot="1" x14ac:dyDescent="0.3">
      <c r="B2" s="192"/>
      <c r="C2" s="576" t="s">
        <v>207</v>
      </c>
      <c r="D2" s="576"/>
      <c r="E2" s="576"/>
      <c r="F2" s="576"/>
      <c r="G2" s="576"/>
      <c r="H2" s="576"/>
      <c r="I2" s="576"/>
      <c r="J2" s="576"/>
      <c r="K2" s="576"/>
      <c r="L2" s="576"/>
      <c r="M2" s="577"/>
    </row>
    <row r="3" spans="2:13" ht="45" customHeight="1" thickBot="1" x14ac:dyDescent="0.3">
      <c r="B3" s="560"/>
      <c r="C3" s="592" t="s">
        <v>183</v>
      </c>
      <c r="D3" s="573" t="s">
        <v>184</v>
      </c>
      <c r="E3" s="574"/>
      <c r="F3" s="575"/>
      <c r="G3" s="563" t="s">
        <v>185</v>
      </c>
      <c r="H3" s="564"/>
      <c r="I3" s="573" t="s">
        <v>187</v>
      </c>
      <c r="J3" s="574"/>
      <c r="K3" s="574"/>
      <c r="L3" s="574"/>
      <c r="M3" s="575"/>
    </row>
    <row r="4" spans="2:13" ht="25.5" x14ac:dyDescent="0.25">
      <c r="B4" s="561"/>
      <c r="C4" s="593"/>
      <c r="D4" s="195" t="s">
        <v>188</v>
      </c>
      <c r="E4" s="195" t="s">
        <v>191</v>
      </c>
      <c r="F4" s="195" t="s">
        <v>195</v>
      </c>
      <c r="G4" s="585" t="s">
        <v>186</v>
      </c>
      <c r="H4" s="586"/>
      <c r="I4" s="563" t="s">
        <v>197</v>
      </c>
      <c r="J4" s="564"/>
      <c r="K4" s="563" t="s">
        <v>199</v>
      </c>
      <c r="L4" s="564"/>
      <c r="M4" s="195" t="s">
        <v>201</v>
      </c>
    </row>
    <row r="5" spans="2:13" x14ac:dyDescent="0.25">
      <c r="B5" s="561"/>
      <c r="C5" s="593"/>
      <c r="D5" s="195" t="s">
        <v>189</v>
      </c>
      <c r="E5" s="195" t="s">
        <v>192</v>
      </c>
      <c r="F5" s="195" t="s">
        <v>189</v>
      </c>
      <c r="G5" s="571"/>
      <c r="H5" s="572"/>
      <c r="I5" s="569" t="s">
        <v>198</v>
      </c>
      <c r="J5" s="570"/>
      <c r="K5" s="569" t="s">
        <v>200</v>
      </c>
      <c r="L5" s="570"/>
      <c r="M5" s="195" t="s">
        <v>202</v>
      </c>
    </row>
    <row r="6" spans="2:13" ht="15.75" x14ac:dyDescent="0.25">
      <c r="B6" s="561"/>
      <c r="C6" s="593"/>
      <c r="D6" s="195" t="s">
        <v>190</v>
      </c>
      <c r="E6" s="198" t="s">
        <v>193</v>
      </c>
      <c r="F6" s="200" t="s">
        <v>196</v>
      </c>
      <c r="G6" s="571"/>
      <c r="H6" s="572"/>
      <c r="I6" s="571"/>
      <c r="J6" s="572"/>
      <c r="K6" s="571"/>
      <c r="L6" s="572"/>
      <c r="M6" s="195" t="s">
        <v>189</v>
      </c>
    </row>
    <row r="7" spans="2:13" ht="26.25" thickBot="1" x14ac:dyDescent="0.3">
      <c r="B7" s="561"/>
      <c r="C7" s="593"/>
      <c r="D7" s="196"/>
      <c r="E7" s="195" t="s">
        <v>194</v>
      </c>
      <c r="F7" s="196"/>
      <c r="G7" s="567"/>
      <c r="H7" s="568"/>
      <c r="I7" s="567"/>
      <c r="J7" s="568"/>
      <c r="K7" s="567"/>
      <c r="L7" s="568"/>
      <c r="M7" s="201" t="s">
        <v>203</v>
      </c>
    </row>
    <row r="8" spans="2:13" ht="16.5" thickBot="1" x14ac:dyDescent="0.3">
      <c r="B8" s="562"/>
      <c r="C8" s="594"/>
      <c r="D8" s="197"/>
      <c r="E8" s="197"/>
      <c r="F8" s="197"/>
      <c r="G8" s="188" t="s">
        <v>204</v>
      </c>
      <c r="H8" s="188" t="s">
        <v>205</v>
      </c>
      <c r="I8" s="188" t="s">
        <v>204</v>
      </c>
      <c r="J8" s="188" t="s">
        <v>205</v>
      </c>
      <c r="K8" s="188" t="s">
        <v>204</v>
      </c>
      <c r="L8" s="188" t="s">
        <v>205</v>
      </c>
      <c r="M8" s="188" t="s">
        <v>206</v>
      </c>
    </row>
    <row r="9" spans="2:13" ht="15.75" customHeight="1" thickBot="1" x14ac:dyDescent="0.3">
      <c r="B9" s="187">
        <v>81</v>
      </c>
      <c r="C9" s="186" t="s">
        <v>176</v>
      </c>
      <c r="D9" s="186">
        <v>2500</v>
      </c>
      <c r="E9" s="186">
        <v>0.84</v>
      </c>
      <c r="F9" s="186">
        <v>1.69</v>
      </c>
      <c r="G9" s="186">
        <v>2</v>
      </c>
      <c r="H9" s="186">
        <v>3</v>
      </c>
      <c r="I9" s="186">
        <v>1.92</v>
      </c>
      <c r="J9" s="186">
        <v>2.04</v>
      </c>
      <c r="K9" s="186">
        <v>17.98</v>
      </c>
      <c r="L9" s="186">
        <v>18.95</v>
      </c>
      <c r="M9" s="186">
        <v>0.03</v>
      </c>
    </row>
    <row r="10" spans="2:13" ht="39" customHeight="1" thickBot="1" x14ac:dyDescent="0.3">
      <c r="B10" s="187">
        <v>82</v>
      </c>
      <c r="C10" s="188" t="s">
        <v>177</v>
      </c>
      <c r="D10" s="188">
        <v>2400</v>
      </c>
      <c r="E10" s="188">
        <v>0.84</v>
      </c>
      <c r="F10" s="188">
        <v>1.51</v>
      </c>
      <c r="G10" s="188">
        <v>2</v>
      </c>
      <c r="H10" s="188">
        <v>3</v>
      </c>
      <c r="I10" s="188">
        <v>1.74</v>
      </c>
      <c r="J10" s="188">
        <v>1.86</v>
      </c>
      <c r="K10" s="188">
        <v>16.77</v>
      </c>
      <c r="L10" s="188">
        <v>17.88</v>
      </c>
      <c r="M10" s="189">
        <v>0.03</v>
      </c>
    </row>
    <row r="11" spans="2:13" ht="16.5" customHeight="1" thickBot="1" x14ac:dyDescent="0.3">
      <c r="B11" s="600" t="s">
        <v>178</v>
      </c>
      <c r="C11" s="601"/>
      <c r="D11" s="601"/>
      <c r="E11" s="601"/>
      <c r="F11" s="601"/>
      <c r="G11" s="601"/>
      <c r="H11" s="601"/>
      <c r="I11" s="601"/>
      <c r="J11" s="601"/>
      <c r="K11" s="601"/>
      <c r="L11" s="601"/>
      <c r="M11" s="602"/>
    </row>
    <row r="12" spans="2:13" ht="16.5" thickBot="1" x14ac:dyDescent="0.3">
      <c r="B12" s="187">
        <v>83</v>
      </c>
      <c r="C12" s="188" t="s">
        <v>179</v>
      </c>
      <c r="D12" s="188">
        <v>1600</v>
      </c>
      <c r="E12" s="188">
        <v>0.84</v>
      </c>
      <c r="F12" s="188">
        <v>0.47</v>
      </c>
      <c r="G12" s="188">
        <v>2</v>
      </c>
      <c r="H12" s="188">
        <v>4</v>
      </c>
      <c r="I12" s="188">
        <v>0.7</v>
      </c>
      <c r="J12" s="188">
        <v>0.81</v>
      </c>
      <c r="K12" s="188">
        <v>8.69</v>
      </c>
      <c r="L12" s="188">
        <v>9.76</v>
      </c>
      <c r="M12" s="188">
        <v>0.12</v>
      </c>
    </row>
    <row r="13" spans="2:13" ht="15.75" x14ac:dyDescent="0.25">
      <c r="B13" s="565">
        <v>84</v>
      </c>
      <c r="C13" s="191" t="s">
        <v>180</v>
      </c>
      <c r="D13" s="565">
        <v>1700</v>
      </c>
      <c r="E13" s="565">
        <v>0.84</v>
      </c>
      <c r="F13" s="565">
        <v>0.52</v>
      </c>
      <c r="G13" s="565">
        <v>2</v>
      </c>
      <c r="H13" s="565">
        <v>4</v>
      </c>
      <c r="I13" s="565">
        <v>0.7</v>
      </c>
      <c r="J13" s="565">
        <v>0.87</v>
      </c>
      <c r="K13" s="565">
        <v>8.9499999999999993</v>
      </c>
      <c r="L13" s="565">
        <v>10.42</v>
      </c>
      <c r="M13" s="565">
        <v>9.8000000000000004E-2</v>
      </c>
    </row>
    <row r="14" spans="2:13" ht="16.5" thickBot="1" x14ac:dyDescent="0.3">
      <c r="B14" s="566"/>
      <c r="C14" s="188" t="s">
        <v>181</v>
      </c>
      <c r="D14" s="566"/>
      <c r="E14" s="566"/>
      <c r="F14" s="566"/>
      <c r="G14" s="566"/>
      <c r="H14" s="566"/>
      <c r="I14" s="566"/>
      <c r="J14" s="566"/>
      <c r="K14" s="566"/>
      <c r="L14" s="566"/>
      <c r="M14" s="566"/>
    </row>
    <row r="15" spans="2:13" ht="16.5" thickBot="1" x14ac:dyDescent="0.3">
      <c r="B15" s="187">
        <v>85</v>
      </c>
      <c r="C15" s="188" t="s">
        <v>182</v>
      </c>
      <c r="D15" s="188">
        <v>1800</v>
      </c>
      <c r="E15" s="188">
        <v>0.84</v>
      </c>
      <c r="F15" s="188">
        <v>0.57999999999999996</v>
      </c>
      <c r="G15" s="188">
        <v>2</v>
      </c>
      <c r="H15" s="188">
        <v>4</v>
      </c>
      <c r="I15" s="188">
        <v>0.76</v>
      </c>
      <c r="J15" s="188">
        <v>0.93</v>
      </c>
      <c r="K15" s="188">
        <v>9.6</v>
      </c>
      <c r="L15" s="188">
        <v>11.09</v>
      </c>
      <c r="M15" s="188">
        <v>0.09</v>
      </c>
    </row>
    <row r="18" spans="3:11" ht="39.75" customHeight="1" x14ac:dyDescent="0.25">
      <c r="C18" s="584" t="s">
        <v>209</v>
      </c>
      <c r="D18" s="584"/>
      <c r="E18" s="584"/>
      <c r="F18" s="584"/>
    </row>
    <row r="19" spans="3:11" ht="16.5" thickBot="1" x14ac:dyDescent="0.3">
      <c r="C19" s="205"/>
    </row>
    <row r="20" spans="3:11" ht="50.25" customHeight="1" thickBot="1" x14ac:dyDescent="0.3">
      <c r="C20" s="565" t="s">
        <v>210</v>
      </c>
      <c r="D20" s="581" t="s">
        <v>211</v>
      </c>
      <c r="E20" s="582"/>
      <c r="F20" s="583"/>
    </row>
    <row r="21" spans="3:11" ht="32.25" thickBot="1" x14ac:dyDescent="0.3">
      <c r="C21" s="566"/>
      <c r="D21" s="188" t="s">
        <v>212</v>
      </c>
      <c r="E21" s="188" t="s">
        <v>213</v>
      </c>
      <c r="F21" s="188" t="s">
        <v>214</v>
      </c>
    </row>
    <row r="22" spans="3:11" ht="16.5" thickBot="1" x14ac:dyDescent="0.3">
      <c r="C22" s="206" t="s">
        <v>215</v>
      </c>
      <c r="D22" s="188">
        <v>0.94799999999999995</v>
      </c>
      <c r="E22" s="188">
        <v>1.655</v>
      </c>
      <c r="F22" s="188">
        <v>2.1</v>
      </c>
    </row>
    <row r="23" spans="3:11" ht="16.5" thickBot="1" x14ac:dyDescent="0.3">
      <c r="C23" s="206" t="s">
        <v>216</v>
      </c>
      <c r="D23" s="188">
        <v>1.5</v>
      </c>
      <c r="E23" s="188">
        <v>2.2000000000000002</v>
      </c>
      <c r="F23" s="188">
        <v>2.2999999999999998</v>
      </c>
    </row>
    <row r="24" spans="3:11" ht="16.5" thickBot="1" x14ac:dyDescent="0.3">
      <c r="C24" s="207" t="s">
        <v>217</v>
      </c>
      <c r="D24" s="188">
        <v>1.75</v>
      </c>
      <c r="E24" s="188">
        <v>2.3530000000000002</v>
      </c>
      <c r="F24" s="188">
        <v>2.9049999999999998</v>
      </c>
    </row>
    <row r="27" spans="3:11" ht="25.5" customHeight="1" x14ac:dyDescent="0.25">
      <c r="C27" s="595" t="s">
        <v>218</v>
      </c>
      <c r="D27" s="595"/>
      <c r="E27" s="595"/>
      <c r="F27" s="595"/>
    </row>
    <row r="28" spans="3:11" ht="48.75" thickBot="1" x14ac:dyDescent="0.3">
      <c r="C28" s="208" t="s">
        <v>219</v>
      </c>
    </row>
    <row r="29" spans="3:11" ht="37.5" customHeight="1" thickBot="1" x14ac:dyDescent="0.3">
      <c r="C29" s="209" t="s">
        <v>220</v>
      </c>
      <c r="D29" s="596" t="s">
        <v>221</v>
      </c>
      <c r="E29" s="597"/>
      <c r="F29" s="589" t="s">
        <v>222</v>
      </c>
      <c r="G29" s="590"/>
      <c r="H29" s="591"/>
      <c r="I29" s="596" t="s">
        <v>223</v>
      </c>
      <c r="J29" s="597"/>
      <c r="K29" s="212" t="s">
        <v>224</v>
      </c>
    </row>
    <row r="30" spans="3:11" ht="24" customHeight="1" thickBot="1" x14ac:dyDescent="0.3">
      <c r="C30" s="213"/>
      <c r="D30" s="587"/>
      <c r="E30" s="588"/>
      <c r="F30" s="589" t="s">
        <v>225</v>
      </c>
      <c r="G30" s="590"/>
      <c r="H30" s="591"/>
      <c r="I30" s="587"/>
      <c r="J30" s="588"/>
      <c r="K30" s="214"/>
    </row>
    <row r="31" spans="3:11" ht="15.75" thickBot="1" x14ac:dyDescent="0.3">
      <c r="C31" s="215"/>
      <c r="D31" s="598"/>
      <c r="E31" s="599"/>
      <c r="F31" s="589" t="s">
        <v>226</v>
      </c>
      <c r="G31" s="591"/>
      <c r="H31" s="214" t="s">
        <v>227</v>
      </c>
      <c r="I31" s="598"/>
      <c r="J31" s="599"/>
      <c r="K31" s="216"/>
    </row>
    <row r="32" spans="3:11" ht="24" x14ac:dyDescent="0.25">
      <c r="C32" s="217" t="s">
        <v>228</v>
      </c>
      <c r="D32" s="596"/>
      <c r="E32" s="597"/>
      <c r="F32" s="596"/>
      <c r="G32" s="597"/>
      <c r="H32" s="212"/>
      <c r="I32" s="596"/>
      <c r="J32" s="597"/>
      <c r="K32" s="214"/>
    </row>
    <row r="33" spans="3:11" x14ac:dyDescent="0.25">
      <c r="C33" s="217">
        <v>75</v>
      </c>
      <c r="D33" s="587"/>
      <c r="E33" s="588"/>
      <c r="F33" s="587"/>
      <c r="G33" s="588"/>
      <c r="H33" s="214"/>
      <c r="I33" s="587"/>
      <c r="J33" s="588"/>
      <c r="K33" s="214"/>
    </row>
    <row r="34" spans="3:11" x14ac:dyDescent="0.25">
      <c r="C34" s="217">
        <v>100</v>
      </c>
      <c r="D34" s="587"/>
      <c r="E34" s="588"/>
      <c r="F34" s="587"/>
      <c r="G34" s="588"/>
      <c r="H34" s="214"/>
      <c r="I34" s="587"/>
      <c r="J34" s="588"/>
      <c r="K34" s="214"/>
    </row>
    <row r="35" spans="3:11" x14ac:dyDescent="0.25">
      <c r="C35" s="218"/>
      <c r="D35" s="587"/>
      <c r="E35" s="588"/>
      <c r="F35" s="587"/>
      <c r="G35" s="588"/>
      <c r="H35" s="214"/>
      <c r="I35" s="587"/>
      <c r="J35" s="588"/>
      <c r="K35" s="214"/>
    </row>
    <row r="36" spans="3:11" ht="24" x14ac:dyDescent="0.25">
      <c r="C36" s="218"/>
      <c r="D36" s="587" t="s">
        <v>229</v>
      </c>
      <c r="E36" s="588"/>
      <c r="F36" s="587" t="s">
        <v>231</v>
      </c>
      <c r="G36" s="588"/>
      <c r="H36" s="214" t="s">
        <v>233</v>
      </c>
      <c r="I36" s="587" t="s">
        <v>235</v>
      </c>
      <c r="J36" s="588"/>
      <c r="K36" s="214" t="s">
        <v>237</v>
      </c>
    </row>
    <row r="37" spans="3:11" x14ac:dyDescent="0.25">
      <c r="C37" s="218"/>
      <c r="D37" s="587"/>
      <c r="E37" s="588"/>
      <c r="F37" s="587"/>
      <c r="G37" s="588"/>
      <c r="H37" s="214"/>
      <c r="I37" s="587" t="s">
        <v>236</v>
      </c>
      <c r="J37" s="588"/>
      <c r="K37" s="214"/>
    </row>
    <row r="38" spans="3:11" ht="24.75" thickBot="1" x14ac:dyDescent="0.3">
      <c r="C38" s="219"/>
      <c r="D38" s="598" t="s">
        <v>230</v>
      </c>
      <c r="E38" s="599"/>
      <c r="F38" s="598" t="s">
        <v>232</v>
      </c>
      <c r="G38" s="599"/>
      <c r="H38" s="221" t="s">
        <v>234</v>
      </c>
      <c r="I38" s="567"/>
      <c r="J38" s="568"/>
      <c r="K38" s="197"/>
    </row>
    <row r="39" spans="3:11" ht="24" x14ac:dyDescent="0.25">
      <c r="C39" s="217" t="s">
        <v>238</v>
      </c>
      <c r="D39" s="596"/>
      <c r="E39" s="597"/>
      <c r="F39" s="596"/>
      <c r="G39" s="597"/>
      <c r="H39" s="214"/>
      <c r="I39" s="596"/>
      <c r="J39" s="597"/>
      <c r="K39" s="214"/>
    </row>
    <row r="40" spans="3:11" x14ac:dyDescent="0.25">
      <c r="C40" s="217">
        <v>250</v>
      </c>
      <c r="D40" s="587"/>
      <c r="E40" s="588"/>
      <c r="F40" s="587"/>
      <c r="G40" s="588"/>
      <c r="H40" s="214"/>
      <c r="I40" s="587"/>
      <c r="J40" s="588"/>
      <c r="K40" s="214"/>
    </row>
    <row r="41" spans="3:11" x14ac:dyDescent="0.25">
      <c r="C41" s="217">
        <v>300</v>
      </c>
      <c r="D41" s="587"/>
      <c r="E41" s="588"/>
      <c r="F41" s="587"/>
      <c r="G41" s="588"/>
      <c r="H41" s="214"/>
      <c r="I41" s="587"/>
      <c r="J41" s="588"/>
      <c r="K41" s="214"/>
    </row>
    <row r="42" spans="3:11" x14ac:dyDescent="0.25">
      <c r="C42" s="217">
        <v>350</v>
      </c>
      <c r="D42" s="587">
        <v>250</v>
      </c>
      <c r="E42" s="588"/>
      <c r="F42" s="587" t="s">
        <v>239</v>
      </c>
      <c r="G42" s="588"/>
      <c r="H42" s="214" t="s">
        <v>242</v>
      </c>
      <c r="I42" s="587"/>
      <c r="J42" s="588"/>
      <c r="K42" s="214"/>
    </row>
    <row r="43" spans="3:11" ht="24" x14ac:dyDescent="0.25">
      <c r="C43" s="218"/>
      <c r="D43" s="587">
        <v>300</v>
      </c>
      <c r="E43" s="588"/>
      <c r="F43" s="587" t="s">
        <v>240</v>
      </c>
      <c r="G43" s="588"/>
      <c r="H43" s="214" t="s">
        <v>242</v>
      </c>
      <c r="I43" s="587" t="s">
        <v>243</v>
      </c>
      <c r="J43" s="588"/>
      <c r="K43" s="214" t="s">
        <v>244</v>
      </c>
    </row>
    <row r="44" spans="3:11" ht="15.75" thickBot="1" x14ac:dyDescent="0.3">
      <c r="C44" s="219"/>
      <c r="D44" s="598">
        <v>350</v>
      </c>
      <c r="E44" s="599"/>
      <c r="F44" s="598" t="s">
        <v>241</v>
      </c>
      <c r="G44" s="599"/>
      <c r="H44" s="221" t="s">
        <v>242</v>
      </c>
      <c r="I44" s="567"/>
      <c r="J44" s="568"/>
      <c r="K44" s="197"/>
    </row>
    <row r="45" spans="3:11" ht="24" x14ac:dyDescent="0.25">
      <c r="C45" s="217" t="s">
        <v>245</v>
      </c>
      <c r="D45" s="596"/>
      <c r="E45" s="597"/>
      <c r="F45" s="596"/>
      <c r="G45" s="597"/>
      <c r="H45" s="214"/>
      <c r="I45" s="596"/>
      <c r="J45" s="597"/>
      <c r="K45" s="214"/>
    </row>
    <row r="46" spans="3:11" x14ac:dyDescent="0.25">
      <c r="C46" s="217">
        <v>200</v>
      </c>
      <c r="D46" s="587"/>
      <c r="E46" s="588"/>
      <c r="F46" s="587"/>
      <c r="G46" s="588"/>
      <c r="H46" s="214"/>
      <c r="I46" s="587"/>
      <c r="J46" s="588"/>
      <c r="K46" s="214"/>
    </row>
    <row r="47" spans="3:11" x14ac:dyDescent="0.25">
      <c r="C47" s="217">
        <v>225</v>
      </c>
      <c r="D47" s="587"/>
      <c r="E47" s="588"/>
      <c r="F47" s="587"/>
      <c r="G47" s="588"/>
      <c r="H47" s="214"/>
      <c r="I47" s="587"/>
      <c r="J47" s="588"/>
      <c r="K47" s="214"/>
    </row>
    <row r="48" spans="3:11" x14ac:dyDescent="0.25">
      <c r="C48" s="218"/>
      <c r="D48" s="587"/>
      <c r="E48" s="588"/>
      <c r="F48" s="587"/>
      <c r="G48" s="588"/>
      <c r="H48" s="214"/>
      <c r="I48" s="587"/>
      <c r="J48" s="588"/>
      <c r="K48" s="214"/>
    </row>
    <row r="49" spans="3:11" x14ac:dyDescent="0.25">
      <c r="C49" s="218"/>
      <c r="D49" s="587"/>
      <c r="E49" s="588"/>
      <c r="F49" s="587"/>
      <c r="G49" s="588"/>
      <c r="H49" s="214"/>
      <c r="I49" s="587"/>
      <c r="J49" s="588"/>
      <c r="K49" s="214"/>
    </row>
    <row r="50" spans="3:11" ht="24" x14ac:dyDescent="0.25">
      <c r="C50" s="218"/>
      <c r="D50" s="587">
        <v>200</v>
      </c>
      <c r="E50" s="588"/>
      <c r="F50" s="587" t="s">
        <v>246</v>
      </c>
      <c r="G50" s="588"/>
      <c r="H50" s="214" t="s">
        <v>242</v>
      </c>
      <c r="I50" s="587" t="s">
        <v>243</v>
      </c>
      <c r="J50" s="588"/>
      <c r="K50" s="214" t="s">
        <v>244</v>
      </c>
    </row>
    <row r="51" spans="3:11" ht="15.75" thickBot="1" x14ac:dyDescent="0.3">
      <c r="C51" s="219"/>
      <c r="D51" s="598">
        <v>225</v>
      </c>
      <c r="E51" s="599"/>
      <c r="F51" s="598" t="s">
        <v>247</v>
      </c>
      <c r="G51" s="599"/>
      <c r="H51" s="221" t="s">
        <v>242</v>
      </c>
      <c r="I51" s="567"/>
      <c r="J51" s="568"/>
      <c r="K51" s="197"/>
    </row>
    <row r="52" spans="3:11" ht="36" customHeight="1" x14ac:dyDescent="0.25">
      <c r="C52" s="217" t="s">
        <v>248</v>
      </c>
      <c r="D52" s="596" t="s">
        <v>249</v>
      </c>
      <c r="E52" s="597"/>
      <c r="F52" s="596"/>
      <c r="G52" s="597"/>
      <c r="H52" s="214"/>
      <c r="I52" s="596"/>
      <c r="J52" s="597"/>
      <c r="K52" s="214"/>
    </row>
    <row r="53" spans="3:11" x14ac:dyDescent="0.25">
      <c r="C53" s="217">
        <v>75</v>
      </c>
      <c r="D53" s="587"/>
      <c r="E53" s="588"/>
      <c r="F53" s="587"/>
      <c r="G53" s="588"/>
      <c r="H53" s="214"/>
      <c r="I53" s="587"/>
      <c r="J53" s="588"/>
      <c r="K53" s="214"/>
    </row>
    <row r="54" spans="3:11" x14ac:dyDescent="0.25">
      <c r="C54" s="217">
        <v>100</v>
      </c>
      <c r="D54" s="587" t="s">
        <v>250</v>
      </c>
      <c r="E54" s="588"/>
      <c r="F54" s="587"/>
      <c r="G54" s="588"/>
      <c r="H54" s="214"/>
      <c r="I54" s="587"/>
      <c r="J54" s="588"/>
      <c r="K54" s="214"/>
    </row>
    <row r="55" spans="3:11" x14ac:dyDescent="0.25">
      <c r="C55" s="218"/>
      <c r="D55" s="587" t="s">
        <v>251</v>
      </c>
      <c r="E55" s="588"/>
      <c r="F55" s="587"/>
      <c r="G55" s="588"/>
      <c r="H55" s="214"/>
      <c r="I55" s="587"/>
      <c r="J55" s="588"/>
      <c r="K55" s="214"/>
    </row>
    <row r="56" spans="3:11" x14ac:dyDescent="0.25">
      <c r="C56" s="218"/>
      <c r="D56" s="571"/>
      <c r="E56" s="572"/>
      <c r="F56" s="587"/>
      <c r="G56" s="588"/>
      <c r="H56" s="214"/>
      <c r="I56" s="587"/>
      <c r="J56" s="588"/>
      <c r="K56" s="214"/>
    </row>
    <row r="57" spans="3:11" ht="18.75" x14ac:dyDescent="0.25">
      <c r="C57" s="218"/>
      <c r="D57" s="571"/>
      <c r="E57" s="572"/>
      <c r="F57" s="587"/>
      <c r="G57" s="588"/>
      <c r="H57" s="222"/>
      <c r="I57" s="587"/>
      <c r="J57" s="588"/>
      <c r="K57" s="214"/>
    </row>
    <row r="58" spans="3:11" ht="24" x14ac:dyDescent="0.25">
      <c r="C58" s="218"/>
      <c r="D58" s="571"/>
      <c r="E58" s="572"/>
      <c r="F58" s="587" t="s">
        <v>252</v>
      </c>
      <c r="G58" s="588"/>
      <c r="H58" s="214" t="s">
        <v>254</v>
      </c>
      <c r="I58" s="587" t="s">
        <v>255</v>
      </c>
      <c r="J58" s="588"/>
      <c r="K58" s="214" t="s">
        <v>244</v>
      </c>
    </row>
    <row r="59" spans="3:11" ht="15.75" thickBot="1" x14ac:dyDescent="0.3">
      <c r="C59" s="219"/>
      <c r="D59" s="567"/>
      <c r="E59" s="568"/>
      <c r="F59" s="598" t="s">
        <v>253</v>
      </c>
      <c r="G59" s="599"/>
      <c r="H59" s="197"/>
      <c r="I59" s="567"/>
      <c r="J59" s="568"/>
      <c r="K59" s="197"/>
    </row>
    <row r="60" spans="3:11" ht="24" x14ac:dyDescent="0.25">
      <c r="C60" s="217" t="s">
        <v>256</v>
      </c>
      <c r="D60" s="596"/>
      <c r="E60" s="597"/>
      <c r="F60" s="596"/>
      <c r="G60" s="597"/>
      <c r="H60" s="214"/>
      <c r="I60" s="596"/>
      <c r="J60" s="597"/>
      <c r="K60" s="214"/>
    </row>
    <row r="61" spans="3:11" x14ac:dyDescent="0.25">
      <c r="C61" s="217">
        <v>300</v>
      </c>
      <c r="D61" s="587"/>
      <c r="E61" s="588"/>
      <c r="F61" s="587"/>
      <c r="G61" s="588"/>
      <c r="H61" s="214"/>
      <c r="I61" s="587"/>
      <c r="J61" s="588"/>
      <c r="K61" s="214"/>
    </row>
    <row r="62" spans="3:11" x14ac:dyDescent="0.25">
      <c r="C62" s="217">
        <v>350</v>
      </c>
      <c r="D62" s="587"/>
      <c r="E62" s="588"/>
      <c r="F62" s="587"/>
      <c r="G62" s="588"/>
      <c r="H62" s="214"/>
      <c r="I62" s="587"/>
      <c r="J62" s="588"/>
      <c r="K62" s="214"/>
    </row>
    <row r="63" spans="3:11" x14ac:dyDescent="0.25">
      <c r="C63" s="217">
        <v>400</v>
      </c>
      <c r="D63" s="587">
        <v>300</v>
      </c>
      <c r="E63" s="588"/>
      <c r="F63" s="587" t="s">
        <v>257</v>
      </c>
      <c r="G63" s="588"/>
      <c r="H63" s="214" t="s">
        <v>242</v>
      </c>
      <c r="I63" s="587"/>
      <c r="J63" s="588"/>
      <c r="K63" s="214"/>
    </row>
    <row r="64" spans="3:11" ht="24" x14ac:dyDescent="0.25">
      <c r="C64" s="218"/>
      <c r="D64" s="587">
        <v>350</v>
      </c>
      <c r="E64" s="588"/>
      <c r="F64" s="587" t="s">
        <v>258</v>
      </c>
      <c r="G64" s="588"/>
      <c r="H64" s="214" t="s">
        <v>242</v>
      </c>
      <c r="I64" s="587" t="s">
        <v>243</v>
      </c>
      <c r="J64" s="588"/>
      <c r="K64" s="214" t="s">
        <v>244</v>
      </c>
    </row>
    <row r="65" spans="3:11" ht="15.75" thickBot="1" x14ac:dyDescent="0.3">
      <c r="C65" s="219"/>
      <c r="D65" s="598">
        <v>400</v>
      </c>
      <c r="E65" s="599"/>
      <c r="F65" s="598" t="s">
        <v>259</v>
      </c>
      <c r="G65" s="599"/>
      <c r="H65" s="221" t="s">
        <v>242</v>
      </c>
      <c r="I65" s="567"/>
      <c r="J65" s="568"/>
      <c r="K65" s="197"/>
    </row>
    <row r="66" spans="3:11" ht="60" customHeight="1" thickBot="1" x14ac:dyDescent="0.3">
      <c r="C66" s="223" t="s">
        <v>260</v>
      </c>
      <c r="D66" s="589" t="s">
        <v>261</v>
      </c>
      <c r="E66" s="591"/>
      <c r="F66" s="589" t="s">
        <v>262</v>
      </c>
      <c r="G66" s="591"/>
      <c r="H66" s="221" t="s">
        <v>242</v>
      </c>
      <c r="I66" s="589" t="s">
        <v>263</v>
      </c>
      <c r="J66" s="591"/>
      <c r="K66" s="221" t="s">
        <v>244</v>
      </c>
    </row>
    <row r="67" spans="3:11" ht="48" customHeight="1" x14ac:dyDescent="0.25">
      <c r="C67" s="224" t="s">
        <v>264</v>
      </c>
      <c r="D67" s="603"/>
      <c r="E67" s="603"/>
      <c r="F67" s="603"/>
      <c r="G67" s="603"/>
      <c r="H67" s="210"/>
      <c r="I67" s="603" t="s">
        <v>270</v>
      </c>
      <c r="J67" s="603" t="s">
        <v>271</v>
      </c>
      <c r="K67" s="597"/>
    </row>
    <row r="68" spans="3:11" x14ac:dyDescent="0.25">
      <c r="C68" s="224">
        <v>100</v>
      </c>
      <c r="D68" s="604"/>
      <c r="E68" s="604"/>
      <c r="F68" s="604"/>
      <c r="G68" s="604"/>
      <c r="H68" s="210"/>
      <c r="I68" s="604"/>
      <c r="J68" s="604"/>
      <c r="K68" s="588"/>
    </row>
    <row r="69" spans="3:11" x14ac:dyDescent="0.25">
      <c r="C69" s="224">
        <v>125</v>
      </c>
      <c r="D69" s="604"/>
      <c r="E69" s="604"/>
      <c r="F69" s="604"/>
      <c r="G69" s="604"/>
      <c r="H69" s="210"/>
      <c r="I69" s="604"/>
      <c r="J69" s="604"/>
      <c r="K69" s="588"/>
    </row>
    <row r="70" spans="3:11" x14ac:dyDescent="0.25">
      <c r="C70" s="203"/>
      <c r="D70" s="604"/>
      <c r="E70" s="604"/>
      <c r="F70" s="604"/>
      <c r="G70" s="604"/>
      <c r="H70" s="210"/>
      <c r="I70" s="604"/>
      <c r="J70" s="604"/>
      <c r="K70" s="588"/>
    </row>
    <row r="71" spans="3:11" ht="24" x14ac:dyDescent="0.25">
      <c r="C71" s="203"/>
      <c r="D71" s="604" t="s">
        <v>265</v>
      </c>
      <c r="E71" s="604"/>
      <c r="F71" s="604" t="s">
        <v>267</v>
      </c>
      <c r="G71" s="604"/>
      <c r="H71" s="210" t="s">
        <v>269</v>
      </c>
      <c r="I71" s="604"/>
      <c r="J71" s="604"/>
      <c r="K71" s="588"/>
    </row>
    <row r="72" spans="3:11" x14ac:dyDescent="0.25">
      <c r="C72" s="203"/>
      <c r="D72" s="604" t="s">
        <v>266</v>
      </c>
      <c r="E72" s="604"/>
      <c r="F72" s="604" t="s">
        <v>268</v>
      </c>
      <c r="G72" s="604"/>
      <c r="H72" s="193"/>
      <c r="I72" s="604"/>
      <c r="J72" s="604"/>
      <c r="K72" s="588"/>
    </row>
    <row r="73" spans="3:11" ht="36" x14ac:dyDescent="0.25">
      <c r="C73" s="224" t="s">
        <v>272</v>
      </c>
      <c r="D73" s="210"/>
      <c r="E73" s="604"/>
      <c r="F73" s="604"/>
      <c r="G73" s="604"/>
      <c r="H73" s="604"/>
      <c r="I73" s="210"/>
      <c r="J73" s="604"/>
      <c r="K73" s="588"/>
    </row>
    <row r="74" spans="3:11" x14ac:dyDescent="0.25">
      <c r="C74" s="224" t="s">
        <v>273</v>
      </c>
      <c r="D74" s="210"/>
      <c r="E74" s="604"/>
      <c r="F74" s="604"/>
      <c r="G74" s="604"/>
      <c r="H74" s="604"/>
      <c r="I74" s="210"/>
      <c r="J74" s="604"/>
      <c r="K74" s="588"/>
    </row>
    <row r="75" spans="3:11" x14ac:dyDescent="0.25">
      <c r="C75" s="224" t="s">
        <v>274</v>
      </c>
      <c r="D75" s="210"/>
      <c r="E75" s="604"/>
      <c r="F75" s="604"/>
      <c r="G75" s="604"/>
      <c r="H75" s="604"/>
      <c r="I75" s="210"/>
      <c r="J75" s="604"/>
      <c r="K75" s="588"/>
    </row>
    <row r="76" spans="3:11" x14ac:dyDescent="0.25">
      <c r="C76" s="203"/>
      <c r="D76" s="210"/>
      <c r="E76" s="604"/>
      <c r="F76" s="604"/>
      <c r="G76" s="604"/>
      <c r="H76" s="604"/>
      <c r="I76" s="210"/>
      <c r="J76" s="604"/>
      <c r="K76" s="588"/>
    </row>
    <row r="77" spans="3:11" x14ac:dyDescent="0.25">
      <c r="C77" s="203"/>
      <c r="D77" s="210"/>
      <c r="E77" s="604"/>
      <c r="F77" s="604"/>
      <c r="G77" s="604"/>
      <c r="H77" s="604"/>
      <c r="I77" s="210"/>
      <c r="J77" s="604"/>
      <c r="K77" s="588"/>
    </row>
    <row r="78" spans="3:11" ht="24" x14ac:dyDescent="0.25">
      <c r="C78" s="203"/>
      <c r="D78" s="210" t="s">
        <v>275</v>
      </c>
      <c r="E78" s="604" t="s">
        <v>277</v>
      </c>
      <c r="F78" s="604"/>
      <c r="G78" s="604">
        <v>4.8000000000000001E-2</v>
      </c>
      <c r="H78" s="604"/>
      <c r="I78" s="210" t="s">
        <v>279</v>
      </c>
      <c r="J78" s="604" t="s">
        <v>244</v>
      </c>
      <c r="K78" s="588"/>
    </row>
    <row r="79" spans="3:11" ht="15.75" thickBot="1" x14ac:dyDescent="0.3">
      <c r="C79" s="202"/>
      <c r="D79" s="220" t="s">
        <v>276</v>
      </c>
      <c r="E79" s="605" t="s">
        <v>278</v>
      </c>
      <c r="F79" s="605"/>
      <c r="G79" s="605">
        <v>4.7E-2</v>
      </c>
      <c r="H79" s="605"/>
      <c r="I79" s="194"/>
      <c r="J79" s="606"/>
      <c r="K79" s="568"/>
    </row>
    <row r="80" spans="3:11" x14ac:dyDescent="0.25">
      <c r="C80" s="199"/>
      <c r="D80" s="199"/>
      <c r="E80" s="199"/>
      <c r="F80" s="199"/>
      <c r="G80" s="199"/>
      <c r="H80" s="199"/>
      <c r="I80" s="199"/>
      <c r="J80" s="199"/>
      <c r="K80" s="199"/>
    </row>
    <row r="81" spans="3:8" ht="15.75" thickBot="1" x14ac:dyDescent="0.3">
      <c r="C81" s="208"/>
    </row>
    <row r="82" spans="3:8" ht="61.5" customHeight="1" x14ac:dyDescent="0.25">
      <c r="C82" s="225" t="s">
        <v>220</v>
      </c>
      <c r="D82" s="211" t="s">
        <v>221</v>
      </c>
      <c r="E82" s="603" t="s">
        <v>222</v>
      </c>
      <c r="F82" s="603"/>
      <c r="G82" s="211" t="s">
        <v>280</v>
      </c>
      <c r="H82" s="212" t="s">
        <v>224</v>
      </c>
    </row>
    <row r="83" spans="3:8" ht="24" customHeight="1" x14ac:dyDescent="0.25">
      <c r="C83" s="226"/>
      <c r="D83" s="210"/>
      <c r="E83" s="604" t="s">
        <v>225</v>
      </c>
      <c r="F83" s="604"/>
      <c r="G83" s="210"/>
      <c r="H83" s="214"/>
    </row>
    <row r="84" spans="3:8" x14ac:dyDescent="0.25">
      <c r="C84" s="226"/>
      <c r="D84" s="210"/>
      <c r="E84" s="210" t="s">
        <v>226</v>
      </c>
      <c r="F84" s="210" t="s">
        <v>227</v>
      </c>
      <c r="G84" s="210"/>
      <c r="H84" s="214"/>
    </row>
    <row r="85" spans="3:8" ht="36" x14ac:dyDescent="0.25">
      <c r="C85" s="224" t="s">
        <v>281</v>
      </c>
      <c r="D85" s="210" t="s">
        <v>282</v>
      </c>
      <c r="E85" s="210" t="s">
        <v>283</v>
      </c>
      <c r="F85" s="210" t="s">
        <v>284</v>
      </c>
      <c r="G85" s="210" t="s">
        <v>285</v>
      </c>
      <c r="H85" s="214" t="s">
        <v>244</v>
      </c>
    </row>
    <row r="86" spans="3:8" ht="36" x14ac:dyDescent="0.25">
      <c r="C86" s="224" t="s">
        <v>286</v>
      </c>
      <c r="D86" s="210"/>
      <c r="E86" s="210"/>
      <c r="F86" s="210"/>
      <c r="G86" s="210"/>
      <c r="H86" s="214"/>
    </row>
    <row r="87" spans="3:8" x14ac:dyDescent="0.25">
      <c r="C87" s="224">
        <v>50</v>
      </c>
      <c r="D87" s="210"/>
      <c r="E87" s="210"/>
      <c r="F87" s="210"/>
      <c r="G87" s="210"/>
      <c r="H87" s="214"/>
    </row>
    <row r="88" spans="3:8" x14ac:dyDescent="0.25">
      <c r="C88" s="224">
        <v>75</v>
      </c>
      <c r="D88" s="210"/>
      <c r="E88" s="210"/>
      <c r="F88" s="210"/>
      <c r="G88" s="210"/>
      <c r="H88" s="214"/>
    </row>
    <row r="89" spans="3:8" x14ac:dyDescent="0.25">
      <c r="C89" s="224">
        <v>125</v>
      </c>
      <c r="D89" s="210"/>
      <c r="E89" s="210"/>
      <c r="F89" s="210"/>
      <c r="G89" s="210"/>
      <c r="H89" s="214"/>
    </row>
    <row r="90" spans="3:8" ht="25.5" x14ac:dyDescent="0.25">
      <c r="C90" s="224">
        <v>175</v>
      </c>
      <c r="D90" s="210" t="s">
        <v>287</v>
      </c>
      <c r="E90" s="210" t="s">
        <v>291</v>
      </c>
      <c r="F90" s="210" t="s">
        <v>254</v>
      </c>
      <c r="G90" s="210" t="s">
        <v>255</v>
      </c>
      <c r="H90" s="214"/>
    </row>
    <row r="91" spans="3:8" ht="25.5" x14ac:dyDescent="0.25">
      <c r="C91" s="203"/>
      <c r="D91" s="210" t="s">
        <v>288</v>
      </c>
      <c r="E91" s="210" t="s">
        <v>292</v>
      </c>
      <c r="F91" s="210" t="s">
        <v>254</v>
      </c>
      <c r="G91" s="210" t="s">
        <v>285</v>
      </c>
      <c r="H91" s="214" t="s">
        <v>244</v>
      </c>
    </row>
    <row r="92" spans="3:8" ht="25.5" x14ac:dyDescent="0.25">
      <c r="C92" s="203"/>
      <c r="D92" s="210" t="s">
        <v>289</v>
      </c>
      <c r="E92" s="210" t="s">
        <v>293</v>
      </c>
      <c r="F92" s="210" t="s">
        <v>234</v>
      </c>
      <c r="G92" s="193"/>
      <c r="H92" s="196"/>
    </row>
    <row r="93" spans="3:8" ht="25.5" x14ac:dyDescent="0.25">
      <c r="C93" s="203"/>
      <c r="D93" s="210" t="s">
        <v>290</v>
      </c>
      <c r="E93" s="210" t="s">
        <v>294</v>
      </c>
      <c r="F93" s="210" t="s">
        <v>295</v>
      </c>
      <c r="G93" s="193"/>
      <c r="H93" s="196"/>
    </row>
    <row r="94" spans="3:8" ht="36" x14ac:dyDescent="0.25">
      <c r="C94" s="224" t="s">
        <v>296</v>
      </c>
      <c r="D94" s="210"/>
      <c r="E94" s="210"/>
      <c r="F94" s="210"/>
      <c r="G94" s="210"/>
      <c r="H94" s="214"/>
    </row>
    <row r="95" spans="3:8" x14ac:dyDescent="0.25">
      <c r="C95" s="224" t="s">
        <v>297</v>
      </c>
      <c r="D95" s="210"/>
      <c r="E95" s="210"/>
      <c r="F95" s="210"/>
      <c r="G95" s="210"/>
      <c r="H95" s="214"/>
    </row>
    <row r="96" spans="3:8" x14ac:dyDescent="0.25">
      <c r="C96" s="224" t="s">
        <v>298</v>
      </c>
      <c r="D96" s="210"/>
      <c r="E96" s="210"/>
      <c r="F96" s="210"/>
      <c r="G96" s="210"/>
      <c r="H96" s="214"/>
    </row>
    <row r="97" spans="3:8" ht="15.75" x14ac:dyDescent="0.25">
      <c r="C97" s="203"/>
      <c r="D97" s="210"/>
      <c r="E97" s="210"/>
      <c r="F97" s="190"/>
      <c r="G97" s="210"/>
      <c r="H97" s="214"/>
    </row>
    <row r="98" spans="3:8" ht="25.5" x14ac:dyDescent="0.25">
      <c r="C98" s="203"/>
      <c r="D98" s="210" t="s">
        <v>299</v>
      </c>
      <c r="E98" s="210" t="s">
        <v>301</v>
      </c>
      <c r="F98" s="210">
        <v>5.2999999999999999E-2</v>
      </c>
      <c r="G98" s="210" t="s">
        <v>279</v>
      </c>
      <c r="H98" s="214" t="s">
        <v>237</v>
      </c>
    </row>
    <row r="99" spans="3:8" ht="25.5" x14ac:dyDescent="0.25">
      <c r="C99" s="203"/>
      <c r="D99" s="210" t="s">
        <v>300</v>
      </c>
      <c r="E99" s="210" t="s">
        <v>302</v>
      </c>
      <c r="F99" s="193"/>
      <c r="G99" s="193"/>
      <c r="H99" s="196"/>
    </row>
    <row r="100" spans="3:8" ht="36" x14ac:dyDescent="0.25">
      <c r="C100" s="224" t="s">
        <v>303</v>
      </c>
      <c r="D100" s="210"/>
      <c r="E100" s="210"/>
      <c r="F100" s="210"/>
      <c r="G100" s="210"/>
      <c r="H100" s="214"/>
    </row>
    <row r="101" spans="3:8" x14ac:dyDescent="0.25">
      <c r="C101" s="224">
        <v>75</v>
      </c>
      <c r="D101" s="210"/>
      <c r="E101" s="210"/>
      <c r="F101" s="210"/>
      <c r="G101" s="210"/>
      <c r="H101" s="214"/>
    </row>
    <row r="102" spans="3:8" x14ac:dyDescent="0.25">
      <c r="C102" s="224">
        <v>100</v>
      </c>
      <c r="D102" s="210"/>
      <c r="E102" s="210"/>
      <c r="F102" s="210"/>
      <c r="G102" s="210"/>
      <c r="H102" s="214"/>
    </row>
    <row r="103" spans="3:8" ht="15.75" x14ac:dyDescent="0.25">
      <c r="C103" s="224">
        <v>150</v>
      </c>
      <c r="D103" s="210"/>
      <c r="E103" s="210"/>
      <c r="F103" s="210"/>
      <c r="G103" s="210"/>
      <c r="H103" s="191"/>
    </row>
    <row r="104" spans="3:8" ht="60" x14ac:dyDescent="0.25">
      <c r="C104" s="224">
        <v>200</v>
      </c>
      <c r="D104" s="210" t="s">
        <v>288</v>
      </c>
      <c r="E104" s="210" t="s">
        <v>242</v>
      </c>
      <c r="F104" s="210" t="s">
        <v>307</v>
      </c>
      <c r="G104" s="210"/>
      <c r="H104" s="214" t="s">
        <v>311</v>
      </c>
    </row>
    <row r="105" spans="3:8" ht="24" x14ac:dyDescent="0.25">
      <c r="C105" s="203"/>
      <c r="D105" s="210" t="s">
        <v>304</v>
      </c>
      <c r="E105" s="210" t="s">
        <v>242</v>
      </c>
      <c r="F105" s="210" t="s">
        <v>307</v>
      </c>
      <c r="G105" s="210" t="s">
        <v>310</v>
      </c>
      <c r="H105" s="196"/>
    </row>
    <row r="106" spans="3:8" ht="24" x14ac:dyDescent="0.25">
      <c r="C106" s="203"/>
      <c r="D106" s="210" t="s">
        <v>305</v>
      </c>
      <c r="E106" s="210" t="s">
        <v>242</v>
      </c>
      <c r="F106" s="210" t="s">
        <v>308</v>
      </c>
      <c r="G106" s="193"/>
      <c r="H106" s="196"/>
    </row>
    <row r="107" spans="3:8" ht="24" x14ac:dyDescent="0.25">
      <c r="C107" s="203"/>
      <c r="D107" s="210" t="s">
        <v>306</v>
      </c>
      <c r="E107" s="210" t="s">
        <v>242</v>
      </c>
      <c r="F107" s="210" t="s">
        <v>309</v>
      </c>
      <c r="G107" s="193"/>
      <c r="H107" s="196"/>
    </row>
    <row r="108" spans="3:8" ht="48" x14ac:dyDescent="0.25">
      <c r="C108" s="224" t="s">
        <v>312</v>
      </c>
      <c r="D108" s="210"/>
      <c r="E108" s="210"/>
      <c r="F108" s="210"/>
      <c r="G108" s="210"/>
      <c r="H108" s="214"/>
    </row>
    <row r="109" spans="3:8" x14ac:dyDescent="0.25">
      <c r="C109" s="224">
        <v>50</v>
      </c>
      <c r="D109" s="210"/>
      <c r="E109" s="210"/>
      <c r="F109" s="210"/>
      <c r="G109" s="210"/>
      <c r="H109" s="214"/>
    </row>
    <row r="110" spans="3:8" x14ac:dyDescent="0.25">
      <c r="C110" s="224">
        <v>80</v>
      </c>
      <c r="D110" s="210"/>
      <c r="E110" s="210"/>
      <c r="F110" s="210"/>
      <c r="G110" s="210"/>
      <c r="H110" s="214"/>
    </row>
    <row r="111" spans="3:8" x14ac:dyDescent="0.25">
      <c r="C111" s="224">
        <v>90</v>
      </c>
      <c r="D111" s="210"/>
      <c r="E111" s="210"/>
      <c r="F111" s="210"/>
      <c r="G111" s="210"/>
      <c r="H111" s="214"/>
    </row>
    <row r="112" spans="3:8" ht="15.75" x14ac:dyDescent="0.25">
      <c r="C112" s="203"/>
      <c r="D112" s="210"/>
      <c r="E112" s="210"/>
      <c r="F112" s="210"/>
      <c r="G112" s="190"/>
      <c r="H112" s="214"/>
    </row>
    <row r="113" spans="3:8" ht="25.5" x14ac:dyDescent="0.25">
      <c r="C113" s="203"/>
      <c r="D113" s="210" t="s">
        <v>313</v>
      </c>
      <c r="E113" s="210" t="s">
        <v>316</v>
      </c>
      <c r="F113" s="210" t="s">
        <v>318</v>
      </c>
      <c r="G113" s="210" t="s">
        <v>235</v>
      </c>
      <c r="H113" s="214" t="s">
        <v>237</v>
      </c>
    </row>
    <row r="114" spans="3:8" ht="25.5" x14ac:dyDescent="0.25">
      <c r="C114" s="203"/>
      <c r="D114" s="210" t="s">
        <v>314</v>
      </c>
      <c r="E114" s="210" t="s">
        <v>317</v>
      </c>
      <c r="F114" s="210" t="s">
        <v>233</v>
      </c>
      <c r="G114" s="193"/>
      <c r="H114" s="196"/>
    </row>
    <row r="115" spans="3:8" ht="25.5" x14ac:dyDescent="0.25">
      <c r="C115" s="203"/>
      <c r="D115" s="210" t="s">
        <v>315</v>
      </c>
      <c r="E115" s="210" t="s">
        <v>232</v>
      </c>
      <c r="F115" s="210" t="s">
        <v>234</v>
      </c>
      <c r="G115" s="193"/>
      <c r="H115" s="196"/>
    </row>
    <row r="116" spans="3:8" ht="36" x14ac:dyDescent="0.25">
      <c r="C116" s="224" t="s">
        <v>319</v>
      </c>
      <c r="D116" s="210"/>
      <c r="E116" s="210"/>
      <c r="F116" s="210"/>
      <c r="G116" s="210"/>
      <c r="H116" s="214"/>
    </row>
    <row r="117" spans="3:8" x14ac:dyDescent="0.25">
      <c r="C117" s="224" t="s">
        <v>320</v>
      </c>
      <c r="D117" s="210"/>
      <c r="E117" s="210"/>
      <c r="F117" s="210"/>
      <c r="G117" s="210"/>
      <c r="H117" s="214"/>
    </row>
    <row r="118" spans="3:8" ht="15.75" x14ac:dyDescent="0.25">
      <c r="C118" s="224" t="s">
        <v>321</v>
      </c>
      <c r="D118" s="210"/>
      <c r="E118" s="190"/>
      <c r="F118" s="190"/>
      <c r="G118" s="210"/>
      <c r="H118" s="214"/>
    </row>
    <row r="119" spans="3:8" ht="25.5" x14ac:dyDescent="0.25">
      <c r="C119" s="203"/>
      <c r="D119" s="210" t="s">
        <v>322</v>
      </c>
      <c r="E119" s="210" t="s">
        <v>324</v>
      </c>
      <c r="F119" s="210" t="s">
        <v>325</v>
      </c>
      <c r="G119" s="210" t="s">
        <v>326</v>
      </c>
      <c r="H119" s="214" t="s">
        <v>244</v>
      </c>
    </row>
    <row r="120" spans="3:8" x14ac:dyDescent="0.25">
      <c r="C120" s="203"/>
      <c r="D120" s="210" t="s">
        <v>323</v>
      </c>
      <c r="E120" s="193"/>
      <c r="F120" s="193"/>
      <c r="G120" s="193"/>
      <c r="H120" s="196"/>
    </row>
    <row r="121" spans="3:8" ht="24" x14ac:dyDescent="0.25">
      <c r="C121" s="224" t="s">
        <v>327</v>
      </c>
      <c r="D121" s="210"/>
      <c r="E121" s="210"/>
      <c r="F121" s="210"/>
      <c r="G121" s="210"/>
      <c r="H121" s="214"/>
    </row>
    <row r="122" spans="3:8" x14ac:dyDescent="0.25">
      <c r="C122" s="224">
        <v>75</v>
      </c>
      <c r="D122" s="210"/>
      <c r="E122" s="210"/>
      <c r="F122" s="210"/>
      <c r="G122" s="210"/>
      <c r="H122" s="214"/>
    </row>
    <row r="123" spans="3:8" x14ac:dyDescent="0.25">
      <c r="C123" s="224">
        <v>100</v>
      </c>
      <c r="D123" s="210"/>
      <c r="E123" s="210"/>
      <c r="F123" s="210"/>
      <c r="G123" s="210"/>
      <c r="H123" s="214"/>
    </row>
    <row r="124" spans="3:8" ht="36" x14ac:dyDescent="0.25">
      <c r="C124" s="224">
        <v>150</v>
      </c>
      <c r="D124" s="210">
        <v>110</v>
      </c>
      <c r="E124" s="210" t="s">
        <v>328</v>
      </c>
      <c r="F124" s="210" t="s">
        <v>331</v>
      </c>
      <c r="G124" s="210" t="s">
        <v>332</v>
      </c>
      <c r="H124" s="214" t="s">
        <v>333</v>
      </c>
    </row>
    <row r="125" spans="3:8" ht="25.5" x14ac:dyDescent="0.25">
      <c r="C125" s="203"/>
      <c r="D125" s="210">
        <v>150</v>
      </c>
      <c r="E125" s="210" t="s">
        <v>329</v>
      </c>
      <c r="F125" s="210" t="s">
        <v>242</v>
      </c>
      <c r="G125" s="193"/>
      <c r="H125" s="196"/>
    </row>
    <row r="126" spans="3:8" ht="25.5" x14ac:dyDescent="0.25">
      <c r="C126" s="203"/>
      <c r="D126" s="210">
        <v>225</v>
      </c>
      <c r="E126" s="210" t="s">
        <v>330</v>
      </c>
      <c r="F126" s="193"/>
      <c r="G126" s="193"/>
      <c r="H126" s="196"/>
    </row>
    <row r="127" spans="3:8" ht="36" x14ac:dyDescent="0.25">
      <c r="C127" s="224" t="s">
        <v>334</v>
      </c>
      <c r="D127" s="210"/>
      <c r="E127" s="210"/>
      <c r="F127" s="210"/>
      <c r="G127" s="210"/>
      <c r="H127" s="214"/>
    </row>
    <row r="128" spans="3:8" x14ac:dyDescent="0.25">
      <c r="C128" s="224">
        <v>100</v>
      </c>
      <c r="D128" s="210"/>
      <c r="E128" s="210"/>
      <c r="F128" s="210"/>
      <c r="G128" s="210"/>
      <c r="H128" s="214"/>
    </row>
    <row r="129" spans="3:8" x14ac:dyDescent="0.25">
      <c r="C129" s="224">
        <v>150</v>
      </c>
      <c r="D129" s="210"/>
      <c r="E129" s="210"/>
      <c r="F129" s="210"/>
      <c r="G129" s="210"/>
      <c r="H129" s="214"/>
    </row>
    <row r="130" spans="3:8" ht="15.75" x14ac:dyDescent="0.25">
      <c r="C130" s="224">
        <v>200</v>
      </c>
      <c r="D130" s="210"/>
      <c r="E130" s="210"/>
      <c r="F130" s="210"/>
      <c r="G130" s="190"/>
      <c r="H130" s="214"/>
    </row>
    <row r="131" spans="3:8" ht="25.5" x14ac:dyDescent="0.25">
      <c r="C131" s="203"/>
      <c r="D131" s="210" t="s">
        <v>335</v>
      </c>
      <c r="E131" s="210" t="s">
        <v>338</v>
      </c>
      <c r="F131" s="210" t="s">
        <v>341</v>
      </c>
      <c r="G131" s="210" t="s">
        <v>285</v>
      </c>
      <c r="H131" s="214" t="s">
        <v>244</v>
      </c>
    </row>
    <row r="132" spans="3:8" ht="25.5" x14ac:dyDescent="0.25">
      <c r="C132" s="203"/>
      <c r="D132" s="210" t="s">
        <v>336</v>
      </c>
      <c r="E132" s="210" t="s">
        <v>339</v>
      </c>
      <c r="F132" s="210" t="s">
        <v>342</v>
      </c>
      <c r="G132" s="193"/>
      <c r="H132" s="196"/>
    </row>
    <row r="133" spans="3:8" ht="25.5" x14ac:dyDescent="0.25">
      <c r="C133" s="203"/>
      <c r="D133" s="210" t="s">
        <v>337</v>
      </c>
      <c r="E133" s="210" t="s">
        <v>340</v>
      </c>
      <c r="F133" s="210" t="s">
        <v>343</v>
      </c>
      <c r="G133" s="193"/>
      <c r="H133" s="196"/>
    </row>
    <row r="134" spans="3:8" ht="24" x14ac:dyDescent="0.25">
      <c r="C134" s="224" t="s">
        <v>344</v>
      </c>
      <c r="D134" s="210"/>
      <c r="E134" s="210"/>
      <c r="F134" s="210"/>
      <c r="G134" s="210"/>
      <c r="H134" s="214"/>
    </row>
    <row r="135" spans="3:8" ht="15.75" x14ac:dyDescent="0.25">
      <c r="C135" s="224">
        <v>20</v>
      </c>
      <c r="D135" s="210"/>
      <c r="E135" s="210"/>
      <c r="F135" s="210"/>
      <c r="G135" s="190"/>
      <c r="H135" s="214"/>
    </row>
    <row r="136" spans="3:8" ht="24" x14ac:dyDescent="0.25">
      <c r="C136" s="224">
        <v>25</v>
      </c>
      <c r="D136" s="210">
        <v>20</v>
      </c>
      <c r="E136" s="210" t="s">
        <v>242</v>
      </c>
      <c r="F136" s="210" t="s">
        <v>346</v>
      </c>
      <c r="G136" s="210" t="s">
        <v>349</v>
      </c>
      <c r="H136" s="214"/>
    </row>
    <row r="137" spans="3:8" ht="24" x14ac:dyDescent="0.25">
      <c r="C137" s="224" t="s">
        <v>345</v>
      </c>
      <c r="D137" s="210">
        <v>25</v>
      </c>
      <c r="E137" s="210" t="s">
        <v>242</v>
      </c>
      <c r="F137" s="210" t="s">
        <v>347</v>
      </c>
      <c r="G137" s="193"/>
      <c r="H137" s="214" t="s">
        <v>350</v>
      </c>
    </row>
    <row r="138" spans="3:8" ht="24.75" thickBot="1" x14ac:dyDescent="0.3">
      <c r="C138" s="202"/>
      <c r="D138" s="220" t="s">
        <v>345</v>
      </c>
      <c r="E138" s="220" t="s">
        <v>242</v>
      </c>
      <c r="F138" s="220" t="s">
        <v>348</v>
      </c>
      <c r="G138" s="194"/>
      <c r="H138" s="197"/>
    </row>
    <row r="139" spans="3:8" ht="15.75" thickBot="1" x14ac:dyDescent="0.3">
      <c r="C139" s="208"/>
    </row>
    <row r="140" spans="3:8" ht="46.5" customHeight="1" x14ac:dyDescent="0.25">
      <c r="C140" s="596" t="s">
        <v>220</v>
      </c>
      <c r="D140" s="603" t="s">
        <v>221</v>
      </c>
      <c r="E140" s="603" t="s">
        <v>222</v>
      </c>
      <c r="F140" s="603"/>
      <c r="G140" s="603" t="s">
        <v>280</v>
      </c>
      <c r="H140" s="597" t="s">
        <v>224</v>
      </c>
    </row>
    <row r="141" spans="3:8" x14ac:dyDescent="0.25">
      <c r="C141" s="587"/>
      <c r="D141" s="607"/>
      <c r="E141" s="607"/>
      <c r="F141" s="607"/>
      <c r="G141" s="607"/>
      <c r="H141" s="588"/>
    </row>
    <row r="142" spans="3:8" ht="24" customHeight="1" x14ac:dyDescent="0.25">
      <c r="C142" s="226"/>
      <c r="D142" s="210"/>
      <c r="E142" s="604" t="s">
        <v>225</v>
      </c>
      <c r="F142" s="604"/>
      <c r="G142" s="210"/>
      <c r="H142" s="214"/>
    </row>
    <row r="143" spans="3:8" x14ac:dyDescent="0.25">
      <c r="C143" s="226"/>
      <c r="D143" s="210"/>
      <c r="E143" s="210" t="s">
        <v>226</v>
      </c>
      <c r="F143" s="210" t="s">
        <v>227</v>
      </c>
      <c r="G143" s="210"/>
      <c r="H143" s="214"/>
    </row>
    <row r="144" spans="3:8" ht="24" x14ac:dyDescent="0.25">
      <c r="C144" s="224" t="s">
        <v>351</v>
      </c>
      <c r="D144" s="210"/>
      <c r="E144" s="210"/>
      <c r="F144" s="210"/>
      <c r="G144" s="210"/>
      <c r="H144" s="214"/>
    </row>
    <row r="145" spans="3:8" x14ac:dyDescent="0.25">
      <c r="C145" s="224" t="s">
        <v>352</v>
      </c>
      <c r="D145" s="210"/>
      <c r="E145" s="210"/>
      <c r="F145" s="210"/>
      <c r="G145" s="210"/>
      <c r="H145" s="214"/>
    </row>
    <row r="146" spans="3:8" ht="24" x14ac:dyDescent="0.25">
      <c r="C146" s="224" t="s">
        <v>353</v>
      </c>
      <c r="D146" s="210">
        <v>40</v>
      </c>
      <c r="E146" s="210" t="s">
        <v>242</v>
      </c>
      <c r="F146" s="210" t="s">
        <v>355</v>
      </c>
      <c r="G146" s="210" t="s">
        <v>357</v>
      </c>
      <c r="H146" s="214" t="s">
        <v>358</v>
      </c>
    </row>
    <row r="147" spans="3:8" ht="24" x14ac:dyDescent="0.25">
      <c r="C147" s="224" t="s">
        <v>354</v>
      </c>
      <c r="D147" s="210">
        <v>60</v>
      </c>
      <c r="E147" s="210" t="s">
        <v>242</v>
      </c>
      <c r="F147" s="210" t="s">
        <v>356</v>
      </c>
      <c r="G147" s="193"/>
      <c r="H147" s="196"/>
    </row>
    <row r="148" spans="3:8" ht="24" x14ac:dyDescent="0.25">
      <c r="C148" s="203"/>
      <c r="D148" s="210">
        <v>65</v>
      </c>
      <c r="E148" s="210" t="s">
        <v>242</v>
      </c>
      <c r="F148" s="210" t="s">
        <v>356</v>
      </c>
      <c r="G148" s="193"/>
      <c r="H148" s="196"/>
    </row>
    <row r="149" spans="3:8" ht="24" x14ac:dyDescent="0.25">
      <c r="C149" s="224" t="s">
        <v>359</v>
      </c>
      <c r="D149" s="210"/>
      <c r="E149" s="210"/>
      <c r="F149" s="210"/>
      <c r="G149" s="210"/>
      <c r="H149" s="214"/>
    </row>
    <row r="150" spans="3:8" x14ac:dyDescent="0.25">
      <c r="C150" s="224" t="s">
        <v>360</v>
      </c>
      <c r="D150" s="210"/>
      <c r="E150" s="210"/>
      <c r="F150" s="210"/>
      <c r="G150" s="210"/>
      <c r="H150" s="214"/>
    </row>
    <row r="151" spans="3:8" x14ac:dyDescent="0.25">
      <c r="C151" s="224" t="s">
        <v>361</v>
      </c>
      <c r="D151" s="210"/>
      <c r="E151" s="210"/>
      <c r="F151" s="210"/>
      <c r="G151" s="210"/>
      <c r="H151" s="214"/>
    </row>
    <row r="152" spans="3:8" ht="24" x14ac:dyDescent="0.25">
      <c r="C152" s="224" t="s">
        <v>362</v>
      </c>
      <c r="D152" s="210">
        <v>85</v>
      </c>
      <c r="E152" s="210" t="s">
        <v>242</v>
      </c>
      <c r="F152" s="210" t="s">
        <v>363</v>
      </c>
      <c r="G152" s="210" t="s">
        <v>357</v>
      </c>
      <c r="H152" s="214" t="s">
        <v>358</v>
      </c>
    </row>
    <row r="153" spans="3:8" ht="24" x14ac:dyDescent="0.25">
      <c r="C153" s="203"/>
      <c r="D153" s="210">
        <v>115</v>
      </c>
      <c r="E153" s="210" t="s">
        <v>242</v>
      </c>
      <c r="F153" s="210" t="s">
        <v>364</v>
      </c>
      <c r="G153" s="193"/>
      <c r="H153" s="196"/>
    </row>
    <row r="154" spans="3:8" ht="24" x14ac:dyDescent="0.25">
      <c r="C154" s="203"/>
      <c r="D154" s="210">
        <v>150</v>
      </c>
      <c r="E154" s="210" t="s">
        <v>242</v>
      </c>
      <c r="F154" s="210" t="s">
        <v>365</v>
      </c>
      <c r="G154" s="193"/>
      <c r="H154" s="196"/>
    </row>
    <row r="155" spans="3:8" ht="24" x14ac:dyDescent="0.25">
      <c r="C155" s="224" t="s">
        <v>366</v>
      </c>
      <c r="D155" s="210" t="s">
        <v>367</v>
      </c>
      <c r="E155" s="210" t="s">
        <v>242</v>
      </c>
      <c r="F155" s="210" t="s">
        <v>364</v>
      </c>
      <c r="G155" s="210" t="s">
        <v>357</v>
      </c>
      <c r="H155" s="214" t="s">
        <v>358</v>
      </c>
    </row>
    <row r="156" spans="3:8" ht="24" x14ac:dyDescent="0.25">
      <c r="C156" s="224" t="s">
        <v>368</v>
      </c>
      <c r="D156" s="210">
        <v>150</v>
      </c>
      <c r="E156" s="210" t="s">
        <v>242</v>
      </c>
      <c r="F156" s="210" t="s">
        <v>369</v>
      </c>
      <c r="G156" s="210" t="s">
        <v>357</v>
      </c>
      <c r="H156" s="214" t="s">
        <v>358</v>
      </c>
    </row>
    <row r="157" spans="3:8" ht="24" x14ac:dyDescent="0.25">
      <c r="C157" s="224" t="s">
        <v>370</v>
      </c>
      <c r="D157" s="210"/>
      <c r="E157" s="210"/>
      <c r="F157" s="210"/>
      <c r="G157" s="210"/>
      <c r="H157" s="214"/>
    </row>
    <row r="158" spans="3:8" x14ac:dyDescent="0.25">
      <c r="C158" s="224" t="s">
        <v>371</v>
      </c>
      <c r="D158" s="210"/>
      <c r="E158" s="210"/>
      <c r="F158" s="210"/>
      <c r="G158" s="210"/>
      <c r="H158" s="214"/>
    </row>
    <row r="159" spans="3:8" x14ac:dyDescent="0.25">
      <c r="C159" s="224" t="s">
        <v>372</v>
      </c>
      <c r="D159" s="210"/>
      <c r="E159" s="210"/>
      <c r="F159" s="210"/>
      <c r="G159" s="210"/>
      <c r="H159" s="214"/>
    </row>
    <row r="160" spans="3:8" ht="24" x14ac:dyDescent="0.25">
      <c r="C160" s="203"/>
      <c r="D160" s="210"/>
      <c r="E160" s="210"/>
      <c r="F160" s="210"/>
      <c r="G160" s="210" t="s">
        <v>375</v>
      </c>
      <c r="H160" s="214"/>
    </row>
    <row r="161" spans="3:8" ht="24" x14ac:dyDescent="0.25">
      <c r="C161" s="203"/>
      <c r="D161" s="210" t="s">
        <v>373</v>
      </c>
      <c r="E161" s="210" t="s">
        <v>242</v>
      </c>
      <c r="F161" s="210" t="s">
        <v>374</v>
      </c>
      <c r="G161" s="210" t="s">
        <v>376</v>
      </c>
      <c r="H161" s="214" t="s">
        <v>358</v>
      </c>
    </row>
    <row r="162" spans="3:8" ht="24" x14ac:dyDescent="0.25">
      <c r="C162" s="203"/>
      <c r="D162" s="210" t="s">
        <v>373</v>
      </c>
      <c r="E162" s="210" t="s">
        <v>242</v>
      </c>
      <c r="F162" s="210" t="s">
        <v>374</v>
      </c>
      <c r="G162" s="193"/>
      <c r="H162" s="214" t="s">
        <v>377</v>
      </c>
    </row>
    <row r="163" spans="3:8" ht="24" x14ac:dyDescent="0.25">
      <c r="C163" s="611" t="s">
        <v>378</v>
      </c>
      <c r="D163" s="210" t="s">
        <v>379</v>
      </c>
      <c r="E163" s="210" t="s">
        <v>242</v>
      </c>
      <c r="F163" s="210" t="s">
        <v>380</v>
      </c>
      <c r="G163" s="604" t="s">
        <v>382</v>
      </c>
      <c r="H163" s="588" t="s">
        <v>358</v>
      </c>
    </row>
    <row r="164" spans="3:8" ht="24" x14ac:dyDescent="0.25">
      <c r="C164" s="611"/>
      <c r="D164" s="210" t="s">
        <v>282</v>
      </c>
      <c r="E164" s="210" t="s">
        <v>242</v>
      </c>
      <c r="F164" s="210" t="s">
        <v>381</v>
      </c>
      <c r="G164" s="604"/>
      <c r="H164" s="588"/>
    </row>
    <row r="165" spans="3:8" ht="24" x14ac:dyDescent="0.25">
      <c r="C165" s="224" t="s">
        <v>383</v>
      </c>
      <c r="D165" s="210" t="s">
        <v>384</v>
      </c>
      <c r="E165" s="210" t="s">
        <v>242</v>
      </c>
      <c r="F165" s="210" t="s">
        <v>385</v>
      </c>
      <c r="G165" s="210" t="s">
        <v>386</v>
      </c>
      <c r="H165" s="214" t="s">
        <v>358</v>
      </c>
    </row>
    <row r="166" spans="3:8" ht="36" x14ac:dyDescent="0.25">
      <c r="C166" s="224" t="s">
        <v>387</v>
      </c>
      <c r="D166" s="210">
        <v>140</v>
      </c>
      <c r="E166" s="210" t="s">
        <v>324</v>
      </c>
      <c r="F166" s="210" t="s">
        <v>325</v>
      </c>
      <c r="G166" s="210" t="s">
        <v>326</v>
      </c>
      <c r="H166" s="214" t="s">
        <v>388</v>
      </c>
    </row>
    <row r="167" spans="3:8" ht="24" x14ac:dyDescent="0.25">
      <c r="C167" s="224" t="s">
        <v>389</v>
      </c>
      <c r="D167" s="210" t="s">
        <v>390</v>
      </c>
      <c r="E167" s="210" t="s">
        <v>242</v>
      </c>
      <c r="F167" s="210" t="s">
        <v>391</v>
      </c>
      <c r="G167" s="210" t="s">
        <v>392</v>
      </c>
      <c r="H167" s="214" t="s">
        <v>333</v>
      </c>
    </row>
    <row r="168" spans="3:8" x14ac:dyDescent="0.25">
      <c r="C168" s="224" t="s">
        <v>393</v>
      </c>
      <c r="D168" s="210"/>
      <c r="E168" s="210"/>
      <c r="F168" s="210"/>
      <c r="G168" s="210"/>
      <c r="H168" s="214"/>
    </row>
    <row r="169" spans="3:8" x14ac:dyDescent="0.25">
      <c r="C169" s="224" t="s">
        <v>394</v>
      </c>
      <c r="D169" s="210"/>
      <c r="E169" s="210"/>
      <c r="F169" s="210"/>
      <c r="G169" s="210"/>
      <c r="H169" s="214"/>
    </row>
    <row r="170" spans="3:8" ht="25.5" x14ac:dyDescent="0.25">
      <c r="C170" s="224" t="s">
        <v>395</v>
      </c>
      <c r="D170" s="210" t="s">
        <v>396</v>
      </c>
      <c r="E170" s="210" t="s">
        <v>398</v>
      </c>
      <c r="F170" s="210" t="s">
        <v>242</v>
      </c>
      <c r="G170" s="210" t="s">
        <v>400</v>
      </c>
      <c r="H170" s="214" t="s">
        <v>377</v>
      </c>
    </row>
    <row r="171" spans="3:8" ht="25.5" x14ac:dyDescent="0.25">
      <c r="C171" s="203"/>
      <c r="D171" s="210" t="s">
        <v>397</v>
      </c>
      <c r="E171" s="210" t="s">
        <v>399</v>
      </c>
      <c r="F171" s="210" t="s">
        <v>242</v>
      </c>
      <c r="G171" s="210" t="s">
        <v>401</v>
      </c>
      <c r="H171" s="214" t="s">
        <v>333</v>
      </c>
    </row>
    <row r="172" spans="3:8" ht="48" customHeight="1" x14ac:dyDescent="0.25">
      <c r="C172" s="224" t="s">
        <v>402</v>
      </c>
      <c r="D172" s="210"/>
      <c r="E172" s="210"/>
      <c r="F172" s="210"/>
      <c r="G172" s="604" t="s">
        <v>406</v>
      </c>
      <c r="H172" s="588" t="s">
        <v>407</v>
      </c>
    </row>
    <row r="173" spans="3:8" x14ac:dyDescent="0.25">
      <c r="C173" s="224">
        <v>200</v>
      </c>
      <c r="D173" s="210"/>
      <c r="E173" s="210"/>
      <c r="F173" s="210"/>
      <c r="G173" s="604"/>
      <c r="H173" s="588"/>
    </row>
    <row r="174" spans="3:8" x14ac:dyDescent="0.25">
      <c r="C174" s="224">
        <v>250</v>
      </c>
      <c r="D174" s="210"/>
      <c r="E174" s="210"/>
      <c r="F174" s="210"/>
      <c r="G174" s="604"/>
      <c r="H174" s="588"/>
    </row>
    <row r="175" spans="3:8" x14ac:dyDescent="0.25">
      <c r="C175" s="203"/>
      <c r="D175" s="210"/>
      <c r="E175" s="210"/>
      <c r="F175" s="210"/>
      <c r="G175" s="604"/>
      <c r="H175" s="588"/>
    </row>
    <row r="176" spans="3:8" ht="25.5" x14ac:dyDescent="0.25">
      <c r="C176" s="203"/>
      <c r="D176" s="210">
        <v>200</v>
      </c>
      <c r="E176" s="210" t="s">
        <v>403</v>
      </c>
      <c r="F176" s="210" t="s">
        <v>405</v>
      </c>
      <c r="G176" s="604"/>
      <c r="H176" s="588"/>
    </row>
    <row r="177" spans="3:8" ht="25.5" x14ac:dyDescent="0.25">
      <c r="C177" s="203"/>
      <c r="D177" s="210">
        <v>250</v>
      </c>
      <c r="E177" s="210" t="s">
        <v>404</v>
      </c>
      <c r="F177" s="210" t="s">
        <v>242</v>
      </c>
      <c r="G177" s="604"/>
      <c r="H177" s="588"/>
    </row>
    <row r="178" spans="3:8" ht="48.75" thickBot="1" x14ac:dyDescent="0.3">
      <c r="C178" s="227" t="s">
        <v>408</v>
      </c>
      <c r="D178" s="220" t="s">
        <v>261</v>
      </c>
      <c r="E178" s="220" t="s">
        <v>409</v>
      </c>
      <c r="F178" s="220">
        <v>0.04</v>
      </c>
      <c r="G178" s="220" t="s">
        <v>410</v>
      </c>
      <c r="H178" s="221" t="s">
        <v>244</v>
      </c>
    </row>
    <row r="179" spans="3:8" ht="24" x14ac:dyDescent="0.25">
      <c r="C179" s="228" t="s">
        <v>411</v>
      </c>
    </row>
    <row r="180" spans="3:8" ht="45" x14ac:dyDescent="0.25">
      <c r="C180" s="228" t="s">
        <v>412</v>
      </c>
    </row>
    <row r="181" spans="3:8" ht="24" x14ac:dyDescent="0.25">
      <c r="C181" s="228" t="s">
        <v>413</v>
      </c>
    </row>
    <row r="182" spans="3:8" ht="101.25" x14ac:dyDescent="0.25">
      <c r="C182" s="228" t="s">
        <v>414</v>
      </c>
    </row>
    <row r="183" spans="3:8" ht="45" x14ac:dyDescent="0.25">
      <c r="C183" s="228" t="s">
        <v>415</v>
      </c>
    </row>
    <row r="184" spans="3:8" ht="33.75" x14ac:dyDescent="0.25">
      <c r="C184" s="228" t="s">
        <v>416</v>
      </c>
    </row>
    <row r="187" spans="3:8" x14ac:dyDescent="0.25">
      <c r="C187" s="246" t="s">
        <v>418</v>
      </c>
    </row>
    <row r="188" spans="3:8" x14ac:dyDescent="0.25">
      <c r="C188" s="247" t="s">
        <v>419</v>
      </c>
    </row>
    <row r="189" spans="3:8" x14ac:dyDescent="0.25">
      <c r="C189" s="248"/>
    </row>
    <row r="190" spans="3:8" ht="51" x14ac:dyDescent="0.25">
      <c r="C190" s="254" t="s">
        <v>420</v>
      </c>
    </row>
    <row r="191" spans="3:8" ht="15.75" thickBot="1" x14ac:dyDescent="0.3">
      <c r="C191" s="249"/>
    </row>
    <row r="192" spans="3:8" ht="15.75" thickBot="1" x14ac:dyDescent="0.3">
      <c r="C192" s="612" t="s">
        <v>421</v>
      </c>
      <c r="D192" s="615" t="s">
        <v>422</v>
      </c>
      <c r="E192" s="616"/>
      <c r="F192" s="616"/>
      <c r="G192" s="617"/>
    </row>
    <row r="193" spans="3:7" ht="26.25" thickBot="1" x14ac:dyDescent="0.3">
      <c r="C193" s="613"/>
      <c r="D193" s="250" t="s">
        <v>423</v>
      </c>
      <c r="E193" s="250" t="s">
        <v>424</v>
      </c>
      <c r="F193" s="615" t="s">
        <v>425</v>
      </c>
      <c r="G193" s="617"/>
    </row>
    <row r="194" spans="3:7" ht="25.5" customHeight="1" thickBot="1" x14ac:dyDescent="0.3">
      <c r="C194" s="613"/>
      <c r="D194" s="615" t="s">
        <v>426</v>
      </c>
      <c r="E194" s="616"/>
      <c r="F194" s="616"/>
      <c r="G194" s="617"/>
    </row>
    <row r="195" spans="3:7" ht="39" thickBot="1" x14ac:dyDescent="0.3">
      <c r="C195" s="614"/>
      <c r="D195" s="250" t="s">
        <v>427</v>
      </c>
      <c r="E195" s="250" t="s">
        <v>427</v>
      </c>
      <c r="F195" s="250" t="s">
        <v>428</v>
      </c>
      <c r="G195" s="251" t="s">
        <v>429</v>
      </c>
    </row>
    <row r="196" spans="3:7" ht="15.75" thickBot="1" x14ac:dyDescent="0.3">
      <c r="C196" s="252">
        <v>18</v>
      </c>
      <c r="D196" s="252">
        <v>80</v>
      </c>
      <c r="E196" s="252">
        <v>80</v>
      </c>
      <c r="F196" s="252">
        <v>50</v>
      </c>
      <c r="G196" s="253">
        <v>60</v>
      </c>
    </row>
    <row r="197" spans="3:7" ht="15.75" thickBot="1" x14ac:dyDescent="0.3">
      <c r="C197" s="252">
        <v>25</v>
      </c>
      <c r="D197" s="252">
        <v>120</v>
      </c>
      <c r="E197" s="252">
        <v>100</v>
      </c>
      <c r="F197" s="252">
        <v>60</v>
      </c>
      <c r="G197" s="253">
        <v>80</v>
      </c>
    </row>
    <row r="198" spans="3:7" ht="15.75" thickBot="1" x14ac:dyDescent="0.3">
      <c r="C198" s="252">
        <v>32</v>
      </c>
      <c r="D198" s="252">
        <v>140</v>
      </c>
      <c r="E198" s="252">
        <v>100</v>
      </c>
      <c r="F198" s="252">
        <v>80</v>
      </c>
      <c r="G198" s="253">
        <v>100</v>
      </c>
    </row>
    <row r="199" spans="3:7" ht="15.75" thickBot="1" x14ac:dyDescent="0.3">
      <c r="C199" s="252">
        <v>45</v>
      </c>
      <c r="D199" s="252">
        <v>140</v>
      </c>
      <c r="E199" s="252">
        <v>100</v>
      </c>
      <c r="F199" s="252">
        <v>80</v>
      </c>
      <c r="G199" s="253">
        <v>100</v>
      </c>
    </row>
    <row r="200" spans="3:7" ht="15.75" thickBot="1" x14ac:dyDescent="0.3">
      <c r="C200" s="252">
        <v>57</v>
      </c>
      <c r="D200" s="252">
        <v>150</v>
      </c>
      <c r="E200" s="252">
        <v>120</v>
      </c>
      <c r="F200" s="252">
        <v>90</v>
      </c>
      <c r="G200" s="253">
        <v>120</v>
      </c>
    </row>
    <row r="201" spans="3:7" ht="15.75" thickBot="1" x14ac:dyDescent="0.3">
      <c r="C201" s="252">
        <v>76</v>
      </c>
      <c r="D201" s="252">
        <v>160</v>
      </c>
      <c r="E201" s="252">
        <v>140</v>
      </c>
      <c r="F201" s="252">
        <v>90</v>
      </c>
      <c r="G201" s="253">
        <v>140</v>
      </c>
    </row>
    <row r="202" spans="3:7" ht="15.75" thickBot="1" x14ac:dyDescent="0.3">
      <c r="C202" s="252">
        <v>89</v>
      </c>
      <c r="D202" s="252">
        <v>170</v>
      </c>
      <c r="E202" s="252">
        <v>160</v>
      </c>
      <c r="F202" s="252">
        <v>100</v>
      </c>
      <c r="G202" s="253">
        <v>140</v>
      </c>
    </row>
    <row r="203" spans="3:7" ht="15.75" thickBot="1" x14ac:dyDescent="0.3">
      <c r="C203" s="252">
        <v>108</v>
      </c>
      <c r="D203" s="252">
        <v>180</v>
      </c>
      <c r="E203" s="252">
        <v>160</v>
      </c>
      <c r="F203" s="252">
        <v>100</v>
      </c>
      <c r="G203" s="253">
        <v>160</v>
      </c>
    </row>
    <row r="204" spans="3:7" ht="15.75" thickBot="1" x14ac:dyDescent="0.3">
      <c r="C204" s="252">
        <v>133</v>
      </c>
      <c r="D204" s="252">
        <v>200</v>
      </c>
      <c r="E204" s="252">
        <v>160</v>
      </c>
      <c r="F204" s="252">
        <v>100</v>
      </c>
      <c r="G204" s="253">
        <v>160</v>
      </c>
    </row>
    <row r="205" spans="3:7" ht="15.75" thickBot="1" x14ac:dyDescent="0.3">
      <c r="C205" s="252">
        <v>159</v>
      </c>
      <c r="D205" s="252">
        <v>220</v>
      </c>
      <c r="E205" s="252">
        <v>160</v>
      </c>
      <c r="F205" s="252">
        <v>120</v>
      </c>
      <c r="G205" s="253">
        <v>180</v>
      </c>
    </row>
    <row r="206" spans="3:7" ht="15.75" thickBot="1" x14ac:dyDescent="0.3">
      <c r="C206" s="252">
        <v>219</v>
      </c>
      <c r="D206" s="252">
        <v>230</v>
      </c>
      <c r="E206" s="252">
        <v>180</v>
      </c>
      <c r="F206" s="252">
        <v>120</v>
      </c>
      <c r="G206" s="253">
        <v>200</v>
      </c>
    </row>
    <row r="207" spans="3:7" ht="15.75" thickBot="1" x14ac:dyDescent="0.3">
      <c r="C207" s="252">
        <v>273</v>
      </c>
      <c r="D207" s="252">
        <v>230</v>
      </c>
      <c r="E207" s="252">
        <v>180</v>
      </c>
      <c r="F207" s="252">
        <v>120</v>
      </c>
      <c r="G207" s="253">
        <v>200</v>
      </c>
    </row>
    <row r="208" spans="3:7" ht="15.75" thickBot="1" x14ac:dyDescent="0.3">
      <c r="C208" s="252">
        <v>325</v>
      </c>
      <c r="D208" s="252">
        <v>240</v>
      </c>
      <c r="E208" s="252">
        <v>200</v>
      </c>
      <c r="F208" s="252">
        <v>120</v>
      </c>
      <c r="G208" s="253">
        <v>200</v>
      </c>
    </row>
    <row r="209" spans="3:7" ht="15.75" thickBot="1" x14ac:dyDescent="0.3">
      <c r="C209" s="252">
        <v>377</v>
      </c>
      <c r="D209" s="252">
        <v>240</v>
      </c>
      <c r="E209" s="252">
        <v>200</v>
      </c>
      <c r="F209" s="252">
        <v>120</v>
      </c>
      <c r="G209" s="253">
        <v>200</v>
      </c>
    </row>
    <row r="210" spans="3:7" ht="15.75" thickBot="1" x14ac:dyDescent="0.3">
      <c r="C210" s="252">
        <v>426</v>
      </c>
      <c r="D210" s="252">
        <v>250</v>
      </c>
      <c r="E210" s="252">
        <v>220</v>
      </c>
      <c r="F210" s="252">
        <v>140</v>
      </c>
      <c r="G210" s="253">
        <v>220</v>
      </c>
    </row>
    <row r="211" spans="3:7" ht="15.75" thickBot="1" x14ac:dyDescent="0.3">
      <c r="C211" s="252">
        <v>476</v>
      </c>
      <c r="D211" s="252">
        <v>250</v>
      </c>
      <c r="E211" s="252">
        <v>220</v>
      </c>
      <c r="F211" s="252">
        <v>140</v>
      </c>
      <c r="G211" s="253">
        <v>220</v>
      </c>
    </row>
    <row r="212" spans="3:7" ht="15.75" thickBot="1" x14ac:dyDescent="0.3">
      <c r="C212" s="252">
        <v>530</v>
      </c>
      <c r="D212" s="252">
        <v>260</v>
      </c>
      <c r="E212" s="252">
        <v>220</v>
      </c>
      <c r="F212" s="252">
        <v>140</v>
      </c>
      <c r="G212" s="253">
        <v>220</v>
      </c>
    </row>
    <row r="213" spans="3:7" ht="15.75" thickBot="1" x14ac:dyDescent="0.3">
      <c r="C213" s="252">
        <v>630</v>
      </c>
      <c r="D213" s="252">
        <v>280</v>
      </c>
      <c r="E213" s="252">
        <v>240</v>
      </c>
      <c r="F213" s="252">
        <v>140</v>
      </c>
      <c r="G213" s="253">
        <v>220</v>
      </c>
    </row>
    <row r="214" spans="3:7" ht="15.75" thickBot="1" x14ac:dyDescent="0.3">
      <c r="C214" s="252">
        <v>720</v>
      </c>
      <c r="D214" s="252">
        <v>280</v>
      </c>
      <c r="E214" s="252">
        <v>240</v>
      </c>
      <c r="F214" s="252">
        <v>140</v>
      </c>
      <c r="G214" s="253">
        <v>220</v>
      </c>
    </row>
    <row r="215" spans="3:7" ht="15.75" thickBot="1" x14ac:dyDescent="0.3">
      <c r="C215" s="252">
        <v>820</v>
      </c>
      <c r="D215" s="252">
        <v>300</v>
      </c>
      <c r="E215" s="252">
        <v>240</v>
      </c>
      <c r="F215" s="252">
        <v>140</v>
      </c>
      <c r="G215" s="253">
        <v>220</v>
      </c>
    </row>
    <row r="216" spans="3:7" ht="15.75" thickBot="1" x14ac:dyDescent="0.3">
      <c r="C216" s="252">
        <v>920</v>
      </c>
      <c r="D216" s="252">
        <v>300</v>
      </c>
      <c r="E216" s="252">
        <v>260</v>
      </c>
      <c r="F216" s="252">
        <v>140</v>
      </c>
      <c r="G216" s="253">
        <v>220</v>
      </c>
    </row>
    <row r="217" spans="3:7" ht="15.75" thickBot="1" x14ac:dyDescent="0.3">
      <c r="C217" s="252" t="s">
        <v>430</v>
      </c>
      <c r="D217" s="252">
        <v>320</v>
      </c>
      <c r="E217" s="252">
        <v>260</v>
      </c>
      <c r="F217" s="252">
        <v>140</v>
      </c>
      <c r="G217" s="253">
        <v>220</v>
      </c>
    </row>
    <row r="218" spans="3:7" ht="36" customHeight="1" thickBot="1" x14ac:dyDescent="0.3">
      <c r="C218" s="608" t="s">
        <v>431</v>
      </c>
      <c r="D218" s="609"/>
      <c r="E218" s="609"/>
      <c r="F218" s="609"/>
      <c r="G218" s="610"/>
    </row>
  </sheetData>
  <mergeCells count="202">
    <mergeCell ref="C218:G218"/>
    <mergeCell ref="E142:F142"/>
    <mergeCell ref="C163:C164"/>
    <mergeCell ref="G163:G164"/>
    <mergeCell ref="C192:C195"/>
    <mergeCell ref="D192:G192"/>
    <mergeCell ref="F193:G193"/>
    <mergeCell ref="D194:G194"/>
    <mergeCell ref="G172:G177"/>
    <mergeCell ref="H172:H177"/>
    <mergeCell ref="J79:K79"/>
    <mergeCell ref="G140:G141"/>
    <mergeCell ref="H140:H141"/>
    <mergeCell ref="C140:C141"/>
    <mergeCell ref="D140:D141"/>
    <mergeCell ref="E140:F141"/>
    <mergeCell ref="H163:H164"/>
    <mergeCell ref="J76:K76"/>
    <mergeCell ref="E82:F82"/>
    <mergeCell ref="E83:F83"/>
    <mergeCell ref="J78:K78"/>
    <mergeCell ref="E79:F79"/>
    <mergeCell ref="G77:H77"/>
    <mergeCell ref="G78:H78"/>
    <mergeCell ref="G79:H79"/>
    <mergeCell ref="E77:F77"/>
    <mergeCell ref="E78:F78"/>
    <mergeCell ref="F71:G71"/>
    <mergeCell ref="F72:G72"/>
    <mergeCell ref="E76:F76"/>
    <mergeCell ref="E73:F73"/>
    <mergeCell ref="E74:F74"/>
    <mergeCell ref="E75:F75"/>
    <mergeCell ref="F69:G69"/>
    <mergeCell ref="F70:G70"/>
    <mergeCell ref="J77:K77"/>
    <mergeCell ref="G73:H73"/>
    <mergeCell ref="G74:H74"/>
    <mergeCell ref="G75:H75"/>
    <mergeCell ref="G76:H76"/>
    <mergeCell ref="J73:K73"/>
    <mergeCell ref="J74:K74"/>
    <mergeCell ref="J75:K75"/>
    <mergeCell ref="D70:E70"/>
    <mergeCell ref="D71:E71"/>
    <mergeCell ref="D72:E72"/>
    <mergeCell ref="I62:J62"/>
    <mergeCell ref="I63:J63"/>
    <mergeCell ref="D68:E68"/>
    <mergeCell ref="D69:E69"/>
    <mergeCell ref="I67:I72"/>
    <mergeCell ref="J67:K72"/>
    <mergeCell ref="F68:G68"/>
    <mergeCell ref="F66:G66"/>
    <mergeCell ref="I66:J66"/>
    <mergeCell ref="D67:E67"/>
    <mergeCell ref="I64:J64"/>
    <mergeCell ref="I65:J65"/>
    <mergeCell ref="F64:G64"/>
    <mergeCell ref="F65:G65"/>
    <mergeCell ref="F67:G67"/>
    <mergeCell ref="D66:E66"/>
    <mergeCell ref="D64:E64"/>
    <mergeCell ref="D65:E65"/>
    <mergeCell ref="I60:J60"/>
    <mergeCell ref="I61:J61"/>
    <mergeCell ref="D60:E60"/>
    <mergeCell ref="D61:E61"/>
    <mergeCell ref="F60:G60"/>
    <mergeCell ref="F61:G61"/>
    <mergeCell ref="F62:G62"/>
    <mergeCell ref="F63:G63"/>
    <mergeCell ref="D63:E63"/>
    <mergeCell ref="I58:J58"/>
    <mergeCell ref="I59:J59"/>
    <mergeCell ref="F54:G54"/>
    <mergeCell ref="D62:E62"/>
    <mergeCell ref="I54:J54"/>
    <mergeCell ref="I55:J55"/>
    <mergeCell ref="I56:J56"/>
    <mergeCell ref="I57:J57"/>
    <mergeCell ref="D57:E57"/>
    <mergeCell ref="D58:E58"/>
    <mergeCell ref="D59:E59"/>
    <mergeCell ref="F56:G56"/>
    <mergeCell ref="F57:G57"/>
    <mergeCell ref="F58:G58"/>
    <mergeCell ref="D56:E56"/>
    <mergeCell ref="F59:G59"/>
    <mergeCell ref="I51:J51"/>
    <mergeCell ref="F51:G51"/>
    <mergeCell ref="F52:G52"/>
    <mergeCell ref="F53:G53"/>
    <mergeCell ref="I52:J52"/>
    <mergeCell ref="I53:J53"/>
    <mergeCell ref="F55:G55"/>
    <mergeCell ref="D52:E52"/>
    <mergeCell ref="D53:E53"/>
    <mergeCell ref="D54:E54"/>
    <mergeCell ref="D55:E55"/>
    <mergeCell ref="I45:J45"/>
    <mergeCell ref="I46:J46"/>
    <mergeCell ref="I47:J47"/>
    <mergeCell ref="I48:J48"/>
    <mergeCell ref="I49:J49"/>
    <mergeCell ref="D51:E51"/>
    <mergeCell ref="F45:G45"/>
    <mergeCell ref="F46:G46"/>
    <mergeCell ref="F47:G47"/>
    <mergeCell ref="F48:G48"/>
    <mergeCell ref="F49:G49"/>
    <mergeCell ref="F50:G50"/>
    <mergeCell ref="D45:E45"/>
    <mergeCell ref="D46:E46"/>
    <mergeCell ref="D49:E49"/>
    <mergeCell ref="D50:E50"/>
    <mergeCell ref="I39:J39"/>
    <mergeCell ref="I40:J40"/>
    <mergeCell ref="I41:J41"/>
    <mergeCell ref="I42:J42"/>
    <mergeCell ref="I43:J43"/>
    <mergeCell ref="I44:J44"/>
    <mergeCell ref="I50:J50"/>
    <mergeCell ref="F42:G42"/>
    <mergeCell ref="F43:G43"/>
    <mergeCell ref="D47:E47"/>
    <mergeCell ref="D48:E48"/>
    <mergeCell ref="F44:G44"/>
    <mergeCell ref="F38:G38"/>
    <mergeCell ref="I38:J38"/>
    <mergeCell ref="F36:G36"/>
    <mergeCell ref="F37:G37"/>
    <mergeCell ref="F39:G39"/>
    <mergeCell ref="F40:G40"/>
    <mergeCell ref="B11:M11"/>
    <mergeCell ref="D35:E35"/>
    <mergeCell ref="D36:E36"/>
    <mergeCell ref="D31:E31"/>
    <mergeCell ref="F31:G31"/>
    <mergeCell ref="F41:G41"/>
    <mergeCell ref="I36:J36"/>
    <mergeCell ref="I37:J37"/>
    <mergeCell ref="D37:E37"/>
    <mergeCell ref="D38:E38"/>
    <mergeCell ref="I33:J33"/>
    <mergeCell ref="D44:E44"/>
    <mergeCell ref="D39:E39"/>
    <mergeCell ref="D40:E40"/>
    <mergeCell ref="D41:E41"/>
    <mergeCell ref="D42:E42"/>
    <mergeCell ref="D43:E43"/>
    <mergeCell ref="F35:G35"/>
    <mergeCell ref="G6:H6"/>
    <mergeCell ref="F32:G32"/>
    <mergeCell ref="F33:G33"/>
    <mergeCell ref="I35:J35"/>
    <mergeCell ref="I31:J31"/>
    <mergeCell ref="D32:E32"/>
    <mergeCell ref="D33:E33"/>
    <mergeCell ref="D34:E34"/>
    <mergeCell ref="F34:G34"/>
    <mergeCell ref="I32:J32"/>
    <mergeCell ref="G5:H5"/>
    <mergeCell ref="I34:J34"/>
    <mergeCell ref="D30:E30"/>
    <mergeCell ref="F30:H30"/>
    <mergeCell ref="I30:J30"/>
    <mergeCell ref="C3:C8"/>
    <mergeCell ref="C27:F27"/>
    <mergeCell ref="D29:E29"/>
    <mergeCell ref="F29:H29"/>
    <mergeCell ref="I29:J29"/>
    <mergeCell ref="J13:J14"/>
    <mergeCell ref="G7:H7"/>
    <mergeCell ref="C2:M2"/>
    <mergeCell ref="C1:M1"/>
    <mergeCell ref="C20:C21"/>
    <mergeCell ref="D20:F20"/>
    <mergeCell ref="C18:F18"/>
    <mergeCell ref="D3:F3"/>
    <mergeCell ref="G3:H3"/>
    <mergeCell ref="G4:H4"/>
    <mergeCell ref="H13:H14"/>
    <mergeCell ref="I13:I14"/>
    <mergeCell ref="G13:G14"/>
    <mergeCell ref="K5:L5"/>
    <mergeCell ref="K6:L6"/>
    <mergeCell ref="I3:M3"/>
    <mergeCell ref="I4:J4"/>
    <mergeCell ref="I5:J5"/>
    <mergeCell ref="I6:J6"/>
    <mergeCell ref="M13:M14"/>
    <mergeCell ref="B3:B8"/>
    <mergeCell ref="K4:L4"/>
    <mergeCell ref="K13:K14"/>
    <mergeCell ref="L13:L14"/>
    <mergeCell ref="K7:L7"/>
    <mergeCell ref="I7:J7"/>
    <mergeCell ref="B13:B14"/>
    <mergeCell ref="D13:D14"/>
    <mergeCell ref="E13:E14"/>
    <mergeCell ref="F13:F14"/>
  </mergeCells>
  <phoneticPr fontId="19" type="noConversion"/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8199" r:id="rId4">
          <objectPr defaultSize="0" autoPict="0" r:id="rId5">
            <anchor moveWithCells="1" sizeWithCells="1">
              <from>
                <xdr:col>3</xdr:col>
                <xdr:colOff>0</xdr:colOff>
                <xdr:row>4</xdr:row>
                <xdr:rowOff>0</xdr:rowOff>
              </from>
              <to>
                <xdr:col>3</xdr:col>
                <xdr:colOff>161925</xdr:colOff>
                <xdr:row>5</xdr:row>
                <xdr:rowOff>28575</xdr:rowOff>
              </to>
            </anchor>
          </objectPr>
        </oleObject>
      </mc:Choice>
      <mc:Fallback>
        <oleObject progId="Equation.DSMT4" shapeId="8199" r:id="rId4"/>
      </mc:Fallback>
    </mc:AlternateContent>
    <mc:AlternateContent xmlns:mc="http://schemas.openxmlformats.org/markup-compatibility/2006">
      <mc:Choice Requires="x14">
        <oleObject progId="Equation.DSMT4" shapeId="8200" r:id="rId6">
          <objectPr defaultSize="0" autoPict="0" r:id="rId7">
            <anchor moveWithCells="1" sizeWithCells="1">
              <from>
                <xdr:col>5</xdr:col>
                <xdr:colOff>0</xdr:colOff>
                <xdr:row>4</xdr:row>
                <xdr:rowOff>0</xdr:rowOff>
              </from>
              <to>
                <xdr:col>5</xdr:col>
                <xdr:colOff>180975</xdr:colOff>
                <xdr:row>5</xdr:row>
                <xdr:rowOff>28575</xdr:rowOff>
              </to>
            </anchor>
          </objectPr>
        </oleObject>
      </mc:Choice>
      <mc:Fallback>
        <oleObject progId="Equation.DSMT4" shapeId="8200" r:id="rId6"/>
      </mc:Fallback>
    </mc:AlternateContent>
    <mc:AlternateContent xmlns:mc="http://schemas.openxmlformats.org/markup-compatibility/2006">
      <mc:Choice Requires="x14">
        <oleObject progId="Equation.DSMT4" shapeId="8201" r:id="rId8">
          <objectPr defaultSize="0" autoPict="0" r:id="rId9">
            <anchor moveWithCells="1" sizeWithCells="1">
              <from>
                <xdr:col>12</xdr:col>
                <xdr:colOff>0</xdr:colOff>
                <xdr:row>5</xdr:row>
                <xdr:rowOff>0</xdr:rowOff>
              </from>
              <to>
                <xdr:col>12</xdr:col>
                <xdr:colOff>123825</xdr:colOff>
                <xdr:row>5</xdr:row>
                <xdr:rowOff>161925</xdr:rowOff>
              </to>
            </anchor>
          </objectPr>
        </oleObject>
      </mc:Choice>
      <mc:Fallback>
        <oleObject progId="Equation.DSMT4" shapeId="8201" r:id="rId8"/>
      </mc:Fallback>
    </mc:AlternateContent>
    <mc:AlternateContent xmlns:mc="http://schemas.openxmlformats.org/markup-compatibility/2006">
      <mc:Choice Requires="x14">
        <oleObject progId="Equation.3" shapeId="8203" r:id="rId10">
          <objectPr defaultSize="0" autoPict="0" r:id="rId11">
            <anchor moveWithCells="1" sizeWithCells="1">
              <from>
                <xdr:col>3</xdr:col>
                <xdr:colOff>76200</xdr:colOff>
                <xdr:row>179</xdr:row>
                <xdr:rowOff>0</xdr:rowOff>
              </from>
              <to>
                <xdr:col>4</xdr:col>
                <xdr:colOff>85725</xdr:colOff>
                <xdr:row>179</xdr:row>
                <xdr:rowOff>304800</xdr:rowOff>
              </to>
            </anchor>
          </objectPr>
        </oleObject>
      </mc:Choice>
      <mc:Fallback>
        <oleObject progId="Equation.3" shapeId="8203" r:id="rId10"/>
      </mc:Fallback>
    </mc:AlternateContent>
    <mc:AlternateContent xmlns:mc="http://schemas.openxmlformats.org/markup-compatibility/2006">
      <mc:Choice Requires="x14">
        <oleObject progId="Equation.3" shapeId="8202" r:id="rId12">
          <objectPr defaultSize="0" autoPict="0" r:id="rId13">
            <anchor moveWithCells="1" sizeWithCells="1">
              <from>
                <xdr:col>3</xdr:col>
                <xdr:colOff>171450</xdr:colOff>
                <xdr:row>180</xdr:row>
                <xdr:rowOff>47625</xdr:rowOff>
              </from>
              <to>
                <xdr:col>3</xdr:col>
                <xdr:colOff>581025</xdr:colOff>
                <xdr:row>181</xdr:row>
                <xdr:rowOff>47625</xdr:rowOff>
              </to>
            </anchor>
          </objectPr>
        </oleObject>
      </mc:Choice>
      <mc:Fallback>
        <oleObject progId="Equation.3" shapeId="8202" r:id="rId12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showGridLines="0" workbookViewId="0">
      <selection activeCell="B12" sqref="B12"/>
    </sheetView>
  </sheetViews>
  <sheetFormatPr defaultRowHeight="15" x14ac:dyDescent="0.2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x14ac:dyDescent="0.25">
      <c r="B1" s="384" t="s">
        <v>477</v>
      </c>
      <c r="C1" s="385"/>
      <c r="D1" s="389"/>
      <c r="E1" s="389"/>
    </row>
    <row r="2" spans="2:5" x14ac:dyDescent="0.25">
      <c r="B2" s="384" t="s">
        <v>478</v>
      </c>
      <c r="C2" s="385"/>
      <c r="D2" s="389"/>
      <c r="E2" s="389"/>
    </row>
    <row r="3" spans="2:5" x14ac:dyDescent="0.25">
      <c r="B3" s="193"/>
      <c r="C3" s="193"/>
      <c r="D3" s="390"/>
      <c r="E3" s="390"/>
    </row>
    <row r="4" spans="2:5" ht="60" x14ac:dyDescent="0.25">
      <c r="B4" s="386" t="s">
        <v>479</v>
      </c>
      <c r="C4" s="193"/>
      <c r="D4" s="390"/>
      <c r="E4" s="390"/>
    </row>
    <row r="5" spans="2:5" x14ac:dyDescent="0.25">
      <c r="B5" s="193"/>
      <c r="C5" s="193"/>
      <c r="D5" s="390"/>
      <c r="E5" s="390"/>
    </row>
    <row r="6" spans="2:5" ht="30" x14ac:dyDescent="0.25">
      <c r="B6" s="384" t="s">
        <v>480</v>
      </c>
      <c r="C6" s="385"/>
      <c r="D6" s="389"/>
      <c r="E6" s="391" t="s">
        <v>481</v>
      </c>
    </row>
    <row r="7" spans="2:5" ht="15.75" thickBot="1" x14ac:dyDescent="0.3">
      <c r="B7" s="193"/>
      <c r="C7" s="193"/>
      <c r="D7" s="390"/>
      <c r="E7" s="390"/>
    </row>
    <row r="8" spans="2:5" ht="60.75" thickBot="1" x14ac:dyDescent="0.3">
      <c r="B8" s="387" t="s">
        <v>482</v>
      </c>
      <c r="C8" s="388"/>
      <c r="D8" s="392"/>
      <c r="E8" s="393">
        <v>2</v>
      </c>
    </row>
    <row r="9" spans="2:5" x14ac:dyDescent="0.25">
      <c r="B9" s="193"/>
      <c r="C9" s="193"/>
      <c r="D9" s="390"/>
      <c r="E9" s="390"/>
    </row>
    <row r="10" spans="2:5" x14ac:dyDescent="0.25">
      <c r="B10" s="193"/>
      <c r="C10" s="193"/>
      <c r="D10" s="390"/>
      <c r="E10" s="39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темп граф</vt:lpstr>
      <vt:lpstr>норм втрати</vt:lpstr>
      <vt:lpstr>розрах втрат магістр тр.</vt:lpstr>
      <vt:lpstr>розрах втрат УТ3-УТ7</vt:lpstr>
      <vt:lpstr>ТЕО для цілорічн</vt:lpstr>
      <vt:lpstr>УТ3-УТ7</vt:lpstr>
      <vt:lpstr>допоміжн інф</vt:lpstr>
      <vt:lpstr>Отчет о совместимости</vt:lpstr>
      <vt:lpstr>'допоміжн інф'!_Toc186444652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2020-02-20T13:44:50Z</dcterms:modified>
</cp:coreProperties>
</file>