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120" yWindow="120" windowWidth="9720" windowHeight="7320"/>
  </bookViews>
  <sheets>
    <sheet name="виконання 9міс." sheetId="7" r:id="rId1"/>
  </sheets>
  <definedNames>
    <definedName name="_xlnm.Print_Titles" localSheetId="0">'виконання 9міс.'!$7:$9</definedName>
  </definedNames>
  <calcPr calcId="162913" fullCalcOnLoad="1"/>
</workbook>
</file>

<file path=xl/calcChain.xml><?xml version="1.0" encoding="utf-8"?>
<calcChain xmlns="http://schemas.openxmlformats.org/spreadsheetml/2006/main">
  <c r="M12" i="7" l="1"/>
  <c r="E12" i="7"/>
  <c r="N12" i="7"/>
  <c r="N13" i="7"/>
  <c r="N14" i="7"/>
  <c r="N15" i="7"/>
  <c r="N16" i="7"/>
  <c r="N17" i="7"/>
  <c r="M21" i="7"/>
  <c r="M18" i="7" s="1"/>
  <c r="E21" i="7"/>
  <c r="E18" i="7" s="1"/>
  <c r="M36" i="7"/>
  <c r="E36" i="7"/>
  <c r="N36" i="7" s="1"/>
  <c r="N37" i="7"/>
  <c r="N40" i="7"/>
  <c r="N46" i="7"/>
  <c r="M50" i="7"/>
  <c r="M49" i="7"/>
  <c r="M58" i="7"/>
  <c r="M69" i="7"/>
  <c r="M68" i="7" s="1"/>
  <c r="M78" i="7"/>
  <c r="M77" i="7" s="1"/>
  <c r="N77" i="7" s="1"/>
  <c r="M96" i="7"/>
  <c r="M101" i="7"/>
  <c r="M119" i="7"/>
  <c r="M116" i="7" s="1"/>
  <c r="M108" i="7" s="1"/>
  <c r="E50" i="7"/>
  <c r="E55" i="7"/>
  <c r="E49" i="7"/>
  <c r="E59" i="7"/>
  <c r="E65" i="7"/>
  <c r="E58" i="7" s="1"/>
  <c r="G70" i="7"/>
  <c r="G69" i="7" s="1"/>
  <c r="G68" i="7" s="1"/>
  <c r="G71" i="7"/>
  <c r="G73" i="7"/>
  <c r="H71" i="7"/>
  <c r="H69" i="7"/>
  <c r="H68" i="7" s="1"/>
  <c r="I70" i="7"/>
  <c r="I69" i="7" s="1"/>
  <c r="I71" i="7"/>
  <c r="I72" i="7"/>
  <c r="E78" i="7"/>
  <c r="E84" i="7"/>
  <c r="E77" i="7"/>
  <c r="E96" i="7"/>
  <c r="N96" i="7" s="1"/>
  <c r="E101" i="7"/>
  <c r="E119" i="7"/>
  <c r="E116" i="7"/>
  <c r="E108" i="7" s="1"/>
  <c r="N48" i="7"/>
  <c r="N56" i="7"/>
  <c r="N57" i="7"/>
  <c r="N67" i="7"/>
  <c r="N76" i="7"/>
  <c r="N85" i="7"/>
  <c r="N100" i="7"/>
  <c r="N101" i="7"/>
  <c r="I179" i="7"/>
  <c r="H179" i="7"/>
  <c r="F179" i="7"/>
  <c r="D179" i="7"/>
  <c r="H178" i="7"/>
  <c r="G178" i="7"/>
  <c r="K178" i="7" s="1"/>
  <c r="L178" i="7" s="1"/>
  <c r="F178" i="7"/>
  <c r="C178" i="7"/>
  <c r="D178" i="7" s="1"/>
  <c r="K177" i="7"/>
  <c r="L177" i="7" s="1"/>
  <c r="F177" i="7"/>
  <c r="K176" i="7"/>
  <c r="L176" i="7"/>
  <c r="F176" i="7"/>
  <c r="C176" i="7"/>
  <c r="D176" i="7" s="1"/>
  <c r="M175" i="7"/>
  <c r="E175" i="7"/>
  <c r="I175" i="7"/>
  <c r="K175" i="7" s="1"/>
  <c r="N175" i="7" s="1"/>
  <c r="C175" i="7"/>
  <c r="D175" i="7" s="1"/>
  <c r="K174" i="7"/>
  <c r="N174" i="7" s="1"/>
  <c r="F174" i="7"/>
  <c r="D174" i="7"/>
  <c r="I173" i="7"/>
  <c r="K173" i="7" s="1"/>
  <c r="L173" i="7" s="1"/>
  <c r="F173" i="7"/>
  <c r="D173" i="7"/>
  <c r="H172" i="7"/>
  <c r="K172" i="7"/>
  <c r="L172" i="7" s="1"/>
  <c r="F172" i="7"/>
  <c r="D172" i="7"/>
  <c r="K171" i="7"/>
  <c r="L171" i="7" s="1"/>
  <c r="F171" i="7"/>
  <c r="H170" i="7"/>
  <c r="K170" i="7"/>
  <c r="L170" i="7" s="1"/>
  <c r="F170" i="7"/>
  <c r="D170" i="7"/>
  <c r="M169" i="7"/>
  <c r="G169" i="7"/>
  <c r="E169" i="7"/>
  <c r="F169" i="7" s="1"/>
  <c r="C169" i="7"/>
  <c r="D169" i="7" s="1"/>
  <c r="J168" i="7"/>
  <c r="I168" i="7"/>
  <c r="I167" i="7"/>
  <c r="I164" i="7" s="1"/>
  <c r="I163" i="7" s="1"/>
  <c r="H168" i="7"/>
  <c r="G168" i="7"/>
  <c r="D168" i="7"/>
  <c r="J167" i="7"/>
  <c r="J164" i="7"/>
  <c r="J175" i="7"/>
  <c r="J163" i="7"/>
  <c r="J162" i="7" s="1"/>
  <c r="H167" i="7"/>
  <c r="K167" i="7" s="1"/>
  <c r="L167" i="7" s="1"/>
  <c r="F167" i="7"/>
  <c r="D167" i="7"/>
  <c r="K166" i="7"/>
  <c r="L166" i="7"/>
  <c r="F166" i="7"/>
  <c r="K165" i="7"/>
  <c r="L165" i="7" s="1"/>
  <c r="F165" i="7"/>
  <c r="D165" i="7"/>
  <c r="M164" i="7"/>
  <c r="G164" i="7"/>
  <c r="G163" i="7"/>
  <c r="E164" i="7"/>
  <c r="F164" i="7"/>
  <c r="C164" i="7"/>
  <c r="D164" i="7"/>
  <c r="M161" i="7"/>
  <c r="K161" i="7"/>
  <c r="C161" i="7"/>
  <c r="K134" i="7"/>
  <c r="K133" i="7"/>
  <c r="K132" i="7"/>
  <c r="K131" i="7"/>
  <c r="K130" i="7"/>
  <c r="K128" i="7"/>
  <c r="K127" i="7"/>
  <c r="K126" i="7"/>
  <c r="K124" i="7"/>
  <c r="K123" i="7"/>
  <c r="K122" i="7"/>
  <c r="K121" i="7"/>
  <c r="K120" i="7"/>
  <c r="J119" i="7"/>
  <c r="J117" i="7"/>
  <c r="J118" i="7"/>
  <c r="J116" i="7"/>
  <c r="I119" i="7"/>
  <c r="H119" i="7"/>
  <c r="G119" i="7"/>
  <c r="F119" i="7"/>
  <c r="C119" i="7"/>
  <c r="D119" i="7"/>
  <c r="I118" i="7"/>
  <c r="H118" i="7"/>
  <c r="G118" i="7"/>
  <c r="G116" i="7"/>
  <c r="F118" i="7"/>
  <c r="D118" i="7"/>
  <c r="I117" i="7"/>
  <c r="I116" i="7"/>
  <c r="H117" i="7"/>
  <c r="H116" i="7"/>
  <c r="H108" i="7" s="1"/>
  <c r="F117" i="7"/>
  <c r="D117" i="7"/>
  <c r="F116" i="7"/>
  <c r="H106" i="7"/>
  <c r="K106" i="7"/>
  <c r="L106" i="7" s="1"/>
  <c r="F106" i="7"/>
  <c r="K105" i="7"/>
  <c r="L105" i="7"/>
  <c r="F105" i="7"/>
  <c r="D105" i="7"/>
  <c r="K104" i="7"/>
  <c r="L104" i="7"/>
  <c r="F104" i="7"/>
  <c r="D104" i="7"/>
  <c r="K103" i="7"/>
  <c r="L103" i="7"/>
  <c r="F103" i="7"/>
  <c r="D103" i="7"/>
  <c r="K102" i="7"/>
  <c r="L102" i="7"/>
  <c r="F102" i="7"/>
  <c r="D102" i="7"/>
  <c r="J101" i="7"/>
  <c r="I101" i="7"/>
  <c r="G101" i="7"/>
  <c r="F101" i="7"/>
  <c r="K100" i="7"/>
  <c r="F100" i="7"/>
  <c r="D100" i="7"/>
  <c r="G99" i="7"/>
  <c r="I98" i="7"/>
  <c r="K98" i="7"/>
  <c r="L98" i="7" s="1"/>
  <c r="F98" i="7"/>
  <c r="D98" i="7"/>
  <c r="I97" i="7"/>
  <c r="K97" i="7" s="1"/>
  <c r="L97" i="7" s="1"/>
  <c r="F97" i="7"/>
  <c r="D97" i="7"/>
  <c r="F96" i="7"/>
  <c r="C96" i="7"/>
  <c r="D96" i="7" s="1"/>
  <c r="K95" i="7"/>
  <c r="L95" i="7" s="1"/>
  <c r="K94" i="7"/>
  <c r="L94" i="7" s="1"/>
  <c r="J92" i="7"/>
  <c r="H92" i="7"/>
  <c r="G92" i="7"/>
  <c r="F92" i="7"/>
  <c r="E91" i="7"/>
  <c r="J91" i="7" s="1"/>
  <c r="J90" i="7"/>
  <c r="I90" i="7"/>
  <c r="H90" i="7"/>
  <c r="G90" i="7"/>
  <c r="F90" i="7"/>
  <c r="J89" i="7"/>
  <c r="I89" i="7"/>
  <c r="H89" i="7"/>
  <c r="G89" i="7"/>
  <c r="K89" i="7" s="1"/>
  <c r="L89" i="7" s="1"/>
  <c r="F89" i="7"/>
  <c r="M88" i="7"/>
  <c r="K88" i="7"/>
  <c r="L88" i="7"/>
  <c r="J85" i="7"/>
  <c r="I85" i="7"/>
  <c r="H85" i="7"/>
  <c r="G85" i="7"/>
  <c r="K85" i="7" s="1"/>
  <c r="L85" i="7" s="1"/>
  <c r="F85" i="7"/>
  <c r="D85" i="7"/>
  <c r="K84" i="7"/>
  <c r="L84" i="7" s="1"/>
  <c r="F84" i="7"/>
  <c r="J82" i="7"/>
  <c r="I82" i="7"/>
  <c r="H82" i="7"/>
  <c r="G82" i="7"/>
  <c r="K82" i="7" s="1"/>
  <c r="L82" i="7" s="1"/>
  <c r="F82" i="7"/>
  <c r="D82" i="7"/>
  <c r="J81" i="7"/>
  <c r="I81" i="7"/>
  <c r="H81" i="7"/>
  <c r="F81" i="7"/>
  <c r="D81" i="7"/>
  <c r="J80" i="7"/>
  <c r="I80" i="7"/>
  <c r="H80" i="7"/>
  <c r="G80" i="7"/>
  <c r="K80" i="7"/>
  <c r="L80" i="7" s="1"/>
  <c r="F80" i="7"/>
  <c r="J79" i="7"/>
  <c r="I79" i="7"/>
  <c r="H79" i="7"/>
  <c r="G79" i="7"/>
  <c r="K79" i="7" s="1"/>
  <c r="L79" i="7" s="1"/>
  <c r="F79" i="7"/>
  <c r="D79" i="7"/>
  <c r="J78" i="7"/>
  <c r="J77" i="7"/>
  <c r="C78" i="7"/>
  <c r="D78" i="7"/>
  <c r="K75" i="7"/>
  <c r="L75" i="7"/>
  <c r="E75" i="7"/>
  <c r="F75" i="7"/>
  <c r="D74" i="7"/>
  <c r="J73" i="7"/>
  <c r="K73" i="7"/>
  <c r="L73" i="7"/>
  <c r="F73" i="7"/>
  <c r="D73" i="7"/>
  <c r="J72" i="7"/>
  <c r="K72" i="7"/>
  <c r="L72" i="7" s="1"/>
  <c r="F72" i="7"/>
  <c r="D72" i="7"/>
  <c r="J71" i="7"/>
  <c r="F71" i="7"/>
  <c r="J70" i="7"/>
  <c r="J69" i="7" s="1"/>
  <c r="K70" i="7"/>
  <c r="L70" i="7" s="1"/>
  <c r="F70" i="7"/>
  <c r="D70" i="7"/>
  <c r="E69" i="7"/>
  <c r="F69" i="7" s="1"/>
  <c r="C69" i="7"/>
  <c r="D69" i="7" s="1"/>
  <c r="J67" i="7"/>
  <c r="H67" i="7"/>
  <c r="G67" i="7"/>
  <c r="K67" i="7" s="1"/>
  <c r="F67" i="7"/>
  <c r="D67" i="7"/>
  <c r="K66" i="7"/>
  <c r="F66" i="7"/>
  <c r="D66" i="7"/>
  <c r="I65" i="7"/>
  <c r="J64" i="7"/>
  <c r="I64" i="7"/>
  <c r="K64" i="7"/>
  <c r="L64" i="7" s="1"/>
  <c r="D64" i="7"/>
  <c r="J63" i="7"/>
  <c r="I63" i="7"/>
  <c r="H63" i="7"/>
  <c r="G63" i="7"/>
  <c r="F63" i="7"/>
  <c r="D63" i="7"/>
  <c r="J62" i="7"/>
  <c r="I62" i="7"/>
  <c r="H62" i="7"/>
  <c r="F62" i="7"/>
  <c r="D62" i="7"/>
  <c r="J61" i="7"/>
  <c r="J59" i="7" s="1"/>
  <c r="J58" i="7" s="1"/>
  <c r="J95" i="7" s="1"/>
  <c r="J99" i="7" s="1"/>
  <c r="J47" i="7" s="1"/>
  <c r="J135" i="7" s="1"/>
  <c r="J138" i="7" s="1"/>
  <c r="J65" i="7"/>
  <c r="I61" i="7"/>
  <c r="I59" i="7" s="1"/>
  <c r="H61" i="7"/>
  <c r="H59" i="7"/>
  <c r="G61" i="7"/>
  <c r="F61" i="7"/>
  <c r="K60" i="7"/>
  <c r="L60" i="7"/>
  <c r="F60" i="7"/>
  <c r="D60" i="7"/>
  <c r="F59" i="7"/>
  <c r="C59" i="7"/>
  <c r="D59" i="7" s="1"/>
  <c r="J57" i="7"/>
  <c r="I57" i="7"/>
  <c r="H57" i="7"/>
  <c r="G57" i="7"/>
  <c r="K57" i="7" s="1"/>
  <c r="F57" i="7"/>
  <c r="D57" i="7"/>
  <c r="J56" i="7"/>
  <c r="I56" i="7"/>
  <c r="H56" i="7"/>
  <c r="G56" i="7"/>
  <c r="F56" i="7"/>
  <c r="D56" i="7"/>
  <c r="K55" i="7"/>
  <c r="L55" i="7" s="1"/>
  <c r="F55" i="7"/>
  <c r="J54" i="7"/>
  <c r="I54" i="7"/>
  <c r="H54" i="7"/>
  <c r="G54" i="7"/>
  <c r="K54" i="7" s="1"/>
  <c r="L54" i="7"/>
  <c r="F54" i="7"/>
  <c r="D54" i="7"/>
  <c r="I53" i="7"/>
  <c r="H53" i="7"/>
  <c r="H50" i="7" s="1"/>
  <c r="F53" i="7"/>
  <c r="D53" i="7"/>
  <c r="K52" i="7"/>
  <c r="L52" i="7"/>
  <c r="F52" i="7"/>
  <c r="I51" i="7"/>
  <c r="I50" i="7" s="1"/>
  <c r="I49" i="7" s="1"/>
  <c r="H51" i="7"/>
  <c r="G51" i="7"/>
  <c r="F51" i="7"/>
  <c r="D51" i="7"/>
  <c r="J50" i="7"/>
  <c r="J49" i="7" s="1"/>
  <c r="J96" i="7"/>
  <c r="F50" i="7"/>
  <c r="C50" i="7"/>
  <c r="D50" i="7"/>
  <c r="F49" i="7"/>
  <c r="K45" i="7"/>
  <c r="L45" i="7" s="1"/>
  <c r="K44" i="7"/>
  <c r="L44" i="7" s="1"/>
  <c r="K43" i="7"/>
  <c r="L43" i="7" s="1"/>
  <c r="K42" i="7"/>
  <c r="L42" i="7" s="1"/>
  <c r="K41" i="7"/>
  <c r="L41" i="7" s="1"/>
  <c r="K40" i="7"/>
  <c r="K39" i="7"/>
  <c r="F39" i="7"/>
  <c r="D39" i="7"/>
  <c r="I38" i="7"/>
  <c r="I36" i="7" s="1"/>
  <c r="H38" i="7"/>
  <c r="H36" i="7" s="1"/>
  <c r="F38" i="7"/>
  <c r="D38" i="7"/>
  <c r="K37" i="7"/>
  <c r="F37" i="7"/>
  <c r="D37" i="7"/>
  <c r="J36" i="7"/>
  <c r="G36" i="7"/>
  <c r="K36" i="7" s="1"/>
  <c r="L36" i="7" s="1"/>
  <c r="F36" i="7"/>
  <c r="C36" i="7"/>
  <c r="D36" i="7"/>
  <c r="K32" i="7"/>
  <c r="K28" i="7"/>
  <c r="K26" i="7"/>
  <c r="K25" i="7"/>
  <c r="K24" i="7"/>
  <c r="K23" i="7"/>
  <c r="K22" i="7"/>
  <c r="J21" i="7"/>
  <c r="J18" i="7" s="1"/>
  <c r="J12" i="7"/>
  <c r="J11" i="7" s="1"/>
  <c r="I21" i="7"/>
  <c r="I18" i="7" s="1"/>
  <c r="I12" i="7"/>
  <c r="I11" i="7" s="1"/>
  <c r="H21" i="7"/>
  <c r="H18" i="7" s="1"/>
  <c r="G21" i="7"/>
  <c r="F21" i="7"/>
  <c r="C21" i="7"/>
  <c r="D21" i="7" s="1"/>
  <c r="K19" i="7"/>
  <c r="L19" i="7" s="1"/>
  <c r="F19" i="7"/>
  <c r="D19" i="7"/>
  <c r="L17" i="7"/>
  <c r="K16" i="7"/>
  <c r="F16" i="7"/>
  <c r="D16" i="7"/>
  <c r="K15" i="7"/>
  <c r="F15" i="7"/>
  <c r="D15" i="7"/>
  <c r="K14" i="7"/>
  <c r="F14" i="7"/>
  <c r="D14" i="7"/>
  <c r="K13" i="7"/>
  <c r="F13" i="7"/>
  <c r="D13" i="7"/>
  <c r="H12" i="7"/>
  <c r="H11" i="7" s="1"/>
  <c r="G12" i="7"/>
  <c r="F12" i="7"/>
  <c r="C12" i="7"/>
  <c r="D12" i="7"/>
  <c r="M163" i="7"/>
  <c r="K51" i="7"/>
  <c r="L51" i="7" s="1"/>
  <c r="K53" i="7"/>
  <c r="L53" i="7" s="1"/>
  <c r="K56" i="7"/>
  <c r="L56" i="7" s="1"/>
  <c r="K61" i="7"/>
  <c r="L61" i="7"/>
  <c r="K62" i="7"/>
  <c r="L62" i="7"/>
  <c r="K63" i="7"/>
  <c r="L63" i="7"/>
  <c r="K71" i="7"/>
  <c r="L71" i="7"/>
  <c r="K81" i="7"/>
  <c r="L81" i="7"/>
  <c r="K90" i="7"/>
  <c r="L90" i="7"/>
  <c r="K92" i="7"/>
  <c r="L92" i="7"/>
  <c r="I96" i="7"/>
  <c r="I99" i="7"/>
  <c r="I47" i="7" s="1"/>
  <c r="C116" i="7"/>
  <c r="D116" i="7" s="1"/>
  <c r="K117" i="7"/>
  <c r="L117" i="7" s="1"/>
  <c r="K118" i="7"/>
  <c r="L118" i="7" s="1"/>
  <c r="K119" i="7"/>
  <c r="L119" i="7" s="1"/>
  <c r="E163" i="7"/>
  <c r="F163" i="7" s="1"/>
  <c r="H164" i="7"/>
  <c r="H163" i="7" s="1"/>
  <c r="H162" i="7" s="1"/>
  <c r="K168" i="7"/>
  <c r="L168" i="7"/>
  <c r="I169" i="7"/>
  <c r="K169" i="7"/>
  <c r="N169" i="7" s="1"/>
  <c r="K179" i="7"/>
  <c r="L179" i="7"/>
  <c r="L57" i="7"/>
  <c r="L14" i="7"/>
  <c r="L16" i="7"/>
  <c r="L37" i="7"/>
  <c r="L39" i="7"/>
  <c r="L40" i="7"/>
  <c r="F65" i="7"/>
  <c r="H65" i="7"/>
  <c r="K65" i="7" s="1"/>
  <c r="L65" i="7" s="1"/>
  <c r="G78" i="7"/>
  <c r="I78" i="7"/>
  <c r="I77" i="7" s="1"/>
  <c r="K77" i="7" s="1"/>
  <c r="L77" i="7" s="1"/>
  <c r="G91" i="7"/>
  <c r="H91" i="7"/>
  <c r="I91" i="7"/>
  <c r="H96" i="7"/>
  <c r="K96" i="7"/>
  <c r="L96" i="7" s="1"/>
  <c r="L100" i="7"/>
  <c r="L174" i="7"/>
  <c r="F175" i="7"/>
  <c r="G65" i="7"/>
  <c r="L66" i="7"/>
  <c r="H77" i="7"/>
  <c r="F78" i="7"/>
  <c r="H78" i="7"/>
  <c r="K78" i="7"/>
  <c r="L78" i="7" s="1"/>
  <c r="F91" i="7"/>
  <c r="C108" i="7"/>
  <c r="D108" i="7" s="1"/>
  <c r="E162" i="7"/>
  <c r="F77" i="7"/>
  <c r="M162" i="7"/>
  <c r="E88" i="7"/>
  <c r="J88" i="7"/>
  <c r="H101" i="7"/>
  <c r="K101" i="7"/>
  <c r="L101" i="7" s="1"/>
  <c r="C163" i="7"/>
  <c r="C162" i="7"/>
  <c r="D163" i="7"/>
  <c r="F88" i="7"/>
  <c r="C75" i="7"/>
  <c r="H49" i="7"/>
  <c r="G58" i="7"/>
  <c r="G77" i="7"/>
  <c r="F108" i="7"/>
  <c r="L169" i="7"/>
  <c r="L67" i="7"/>
  <c r="K116" i="7"/>
  <c r="L116" i="7"/>
  <c r="G108" i="7"/>
  <c r="G162" i="7"/>
  <c r="L175" i="7"/>
  <c r="I162" i="7"/>
  <c r="H99" i="7"/>
  <c r="C55" i="7"/>
  <c r="C49" i="7" s="1"/>
  <c r="D49" i="7" s="1"/>
  <c r="C18" i="7"/>
  <c r="L15" i="7"/>
  <c r="L13" i="7"/>
  <c r="K38" i="7"/>
  <c r="L38" i="7" s="1"/>
  <c r="G50" i="7"/>
  <c r="D55" i="7"/>
  <c r="H47" i="7"/>
  <c r="H135" i="7" s="1"/>
  <c r="H138" i="7" s="1"/>
  <c r="C11" i="7"/>
  <c r="D18" i="7"/>
  <c r="G47" i="7"/>
  <c r="K47" i="7" s="1"/>
  <c r="K108" i="7"/>
  <c r="K163" i="7"/>
  <c r="L163" i="7" s="1"/>
  <c r="L108" i="7"/>
  <c r="L47" i="7"/>
  <c r="J139" i="7" l="1"/>
  <c r="J140" i="7"/>
  <c r="H139" i="7"/>
  <c r="H140" i="7"/>
  <c r="I58" i="7"/>
  <c r="K58" i="7" s="1"/>
  <c r="L58" i="7" s="1"/>
  <c r="K59" i="7"/>
  <c r="L59" i="7" s="1"/>
  <c r="I68" i="7"/>
  <c r="K68" i="7" s="1"/>
  <c r="L68" i="7" s="1"/>
  <c r="K69" i="7"/>
  <c r="L69" i="7" s="1"/>
  <c r="N58" i="7"/>
  <c r="F58" i="7"/>
  <c r="E11" i="7"/>
  <c r="F18" i="7"/>
  <c r="C68" i="7"/>
  <c r="D68" i="7" s="1"/>
  <c r="D75" i="7"/>
  <c r="K99" i="7"/>
  <c r="L99" i="7" s="1"/>
  <c r="G49" i="7"/>
  <c r="K49" i="7" s="1"/>
  <c r="L49" i="7" s="1"/>
  <c r="K50" i="7"/>
  <c r="L50" i="7" s="1"/>
  <c r="K164" i="7"/>
  <c r="H58" i="7"/>
  <c r="C65" i="7"/>
  <c r="D65" i="7" s="1"/>
  <c r="C84" i="7"/>
  <c r="C106" i="7"/>
  <c r="K91" i="7"/>
  <c r="L91" i="7" s="1"/>
  <c r="K12" i="7"/>
  <c r="L12" i="7" s="1"/>
  <c r="K21" i="7"/>
  <c r="L21" i="7" s="1"/>
  <c r="G18" i="7"/>
  <c r="K18" i="7" s="1"/>
  <c r="L18" i="7" s="1"/>
  <c r="I135" i="7"/>
  <c r="I138" i="7" s="1"/>
  <c r="N108" i="7"/>
  <c r="M95" i="7"/>
  <c r="N18" i="7"/>
  <c r="M11" i="7"/>
  <c r="N49" i="7"/>
  <c r="N11" i="7" l="1"/>
  <c r="I139" i="7"/>
  <c r="I140" i="7" s="1"/>
  <c r="D106" i="7"/>
  <c r="C101" i="7"/>
  <c r="D101" i="7" s="1"/>
  <c r="C58" i="7"/>
  <c r="N164" i="7"/>
  <c r="L164" i="7"/>
  <c r="H148" i="7"/>
  <c r="H141" i="7"/>
  <c r="J148" i="7"/>
  <c r="J141" i="7"/>
  <c r="M99" i="7"/>
  <c r="E68" i="7"/>
  <c r="G11" i="7"/>
  <c r="C77" i="7"/>
  <c r="D77" i="7" s="1"/>
  <c r="D84" i="7"/>
  <c r="I141" i="7" l="1"/>
  <c r="I148" i="7"/>
  <c r="I149" i="7" s="1"/>
  <c r="F68" i="7"/>
  <c r="E95" i="7"/>
  <c r="N68" i="7"/>
  <c r="M47" i="7"/>
  <c r="J151" i="7"/>
  <c r="J150" i="7"/>
  <c r="J149" i="7"/>
  <c r="H149" i="7"/>
  <c r="H150" i="7"/>
  <c r="H151" i="7"/>
  <c r="K151" i="7" s="1"/>
  <c r="K11" i="7"/>
  <c r="G135" i="7"/>
  <c r="D58" i="7"/>
  <c r="C95" i="7"/>
  <c r="E99" i="7" l="1"/>
  <c r="F95" i="7"/>
  <c r="N95" i="7"/>
  <c r="C99" i="7"/>
  <c r="D95" i="7"/>
  <c r="G138" i="7"/>
  <c r="K135" i="7"/>
  <c r="M135" i="7"/>
  <c r="M138" i="7" s="1"/>
  <c r="M140" i="7" s="1"/>
  <c r="M141" i="7" s="1"/>
  <c r="K138" i="7" l="1"/>
  <c r="G139" i="7"/>
  <c r="K139" i="7" s="1"/>
  <c r="G140" i="7"/>
  <c r="C47" i="7"/>
  <c r="D99" i="7"/>
  <c r="E47" i="7"/>
  <c r="F99" i="7"/>
  <c r="N99" i="7"/>
  <c r="E135" i="7" l="1"/>
  <c r="E138" i="7" s="1"/>
  <c r="N47" i="7"/>
  <c r="D47" i="7"/>
  <c r="C135" i="7"/>
  <c r="C138" i="7" s="1"/>
  <c r="C140" i="7" s="1"/>
  <c r="C148" i="7" s="1"/>
  <c r="G148" i="7"/>
  <c r="K140" i="7"/>
  <c r="G141" i="7"/>
  <c r="K141" i="7" s="1"/>
  <c r="C150" i="7" l="1"/>
  <c r="C151" i="7"/>
  <c r="C149" i="7"/>
  <c r="G150" i="7"/>
  <c r="K150" i="7" s="1"/>
  <c r="K148" i="7"/>
  <c r="G149" i="7"/>
  <c r="K149" i="7" s="1"/>
  <c r="E140" i="7"/>
  <c r="E139" i="7"/>
  <c r="E141" i="7" l="1"/>
  <c r="E148" i="7"/>
  <c r="E151" i="7" l="1"/>
  <c r="E150" i="7"/>
</calcChain>
</file>

<file path=xl/sharedStrings.xml><?xml version="1.0" encoding="utf-8"?>
<sst xmlns="http://schemas.openxmlformats.org/spreadsheetml/2006/main" count="290" uniqueCount="209">
  <si>
    <t xml:space="preserve"> </t>
  </si>
  <si>
    <t>Найменування показників</t>
  </si>
  <si>
    <t>тис.грн.</t>
  </si>
  <si>
    <t xml:space="preserve">Обсяг наданих послуг </t>
  </si>
  <si>
    <t>без ПДВ (єдиного податку)</t>
  </si>
  <si>
    <t>1.1.</t>
  </si>
  <si>
    <t>з неї: - плата населенням</t>
  </si>
  <si>
    <t xml:space="preserve">        -  субсидії</t>
  </si>
  <si>
    <t xml:space="preserve">        -  пільги</t>
  </si>
  <si>
    <t>з загальної суми будинки з ліфтами</t>
  </si>
  <si>
    <t>1.2.</t>
  </si>
  <si>
    <t xml:space="preserve"> Відшкодування</t>
  </si>
  <si>
    <t xml:space="preserve">  - за прибирання прилоткової, тротуарів</t>
  </si>
  <si>
    <t xml:space="preserve">  - міськ РЕМ</t>
  </si>
  <si>
    <t>1.3.</t>
  </si>
  <si>
    <t>в т.ч. водопостачання, водовідведення</t>
  </si>
  <si>
    <t>Витрати виробництва, що відносяться</t>
  </si>
  <si>
    <t>в тому числі:</t>
  </si>
  <si>
    <t>3.1.</t>
  </si>
  <si>
    <t>Прибирання прибудинкової території</t>
  </si>
  <si>
    <t>3.1.1.</t>
  </si>
  <si>
    <t>в т.ч.   Утримання  двірників</t>
  </si>
  <si>
    <t xml:space="preserve">                         заробітна плата</t>
  </si>
  <si>
    <t xml:space="preserve">                         премія</t>
  </si>
  <si>
    <t xml:space="preserve">                         нарахування </t>
  </si>
  <si>
    <t xml:space="preserve">                         інші витрати </t>
  </si>
  <si>
    <t xml:space="preserve">               Накладні витрати</t>
  </si>
  <si>
    <t>3.2.</t>
  </si>
  <si>
    <t xml:space="preserve">Дератизація </t>
  </si>
  <si>
    <t>3.3.</t>
  </si>
  <si>
    <t>Дезінсекція</t>
  </si>
  <si>
    <t>3.4.</t>
  </si>
  <si>
    <t>3.5.</t>
  </si>
  <si>
    <t>Освітлення сходових кліток та під"їздів</t>
  </si>
  <si>
    <t xml:space="preserve">          утримання електриків </t>
  </si>
  <si>
    <t xml:space="preserve">         електроенергія на освітлення</t>
  </si>
  <si>
    <t>3.6.</t>
  </si>
  <si>
    <t>3.6.1.</t>
  </si>
  <si>
    <t>в т.ч. Утримання робочих</t>
  </si>
  <si>
    <t xml:space="preserve">                        зарплата</t>
  </si>
  <si>
    <t xml:space="preserve">                        премія</t>
  </si>
  <si>
    <t xml:space="preserve">                        нарахування </t>
  </si>
  <si>
    <t xml:space="preserve">                        матеріали</t>
  </si>
  <si>
    <t xml:space="preserve">                        інші витрати </t>
  </si>
  <si>
    <t>3.6.2.</t>
  </si>
  <si>
    <t>3.7.</t>
  </si>
  <si>
    <t>Обслуговування димовентканалів</t>
  </si>
  <si>
    <t>3.8.</t>
  </si>
  <si>
    <t>Поточний ремонт</t>
  </si>
  <si>
    <t xml:space="preserve">             Накладні витрати</t>
  </si>
  <si>
    <t>3.9.</t>
  </si>
  <si>
    <t xml:space="preserve">Обслуговування  внутрішньобудинкових </t>
  </si>
  <si>
    <t>систем водопостачання, водовідведення</t>
  </si>
  <si>
    <t xml:space="preserve">          Утримання робочих</t>
  </si>
  <si>
    <t xml:space="preserve">                  зарплата</t>
  </si>
  <si>
    <t xml:space="preserve">                  премія</t>
  </si>
  <si>
    <t xml:space="preserve">                  нарахування на з/плату  з премією</t>
  </si>
  <si>
    <t xml:space="preserve">                  матеріали</t>
  </si>
  <si>
    <t xml:space="preserve">                  інші витрати </t>
  </si>
  <si>
    <t xml:space="preserve">           Накладні витрати</t>
  </si>
  <si>
    <t>3.10.</t>
  </si>
  <si>
    <t>систем теплопостачання</t>
  </si>
  <si>
    <t>Всього витрат в будинках без ліфтів</t>
  </si>
  <si>
    <t>Утримання ліфтів</t>
  </si>
  <si>
    <t xml:space="preserve">         ел.енергія для роботи ліфтів</t>
  </si>
  <si>
    <t xml:space="preserve">         тех.обслуговування ліфтів</t>
  </si>
  <si>
    <t>Всього витрат в будинках з ліфтами</t>
  </si>
  <si>
    <t>Вивезення ТПВ</t>
  </si>
  <si>
    <t xml:space="preserve"> Прибирання прилоткової частини</t>
  </si>
  <si>
    <t>в т.ч. заробітна плата</t>
  </si>
  <si>
    <t xml:space="preserve">        премія</t>
  </si>
  <si>
    <t xml:space="preserve">        нарахування на з/плату  з премією</t>
  </si>
  <si>
    <t xml:space="preserve">        інші витрати </t>
  </si>
  <si>
    <t>Довідково:</t>
  </si>
  <si>
    <t>Накладні  та загальногосподарські:</t>
  </si>
  <si>
    <t>Утримання АУП</t>
  </si>
  <si>
    <t xml:space="preserve">        нарахування на з/плату з премією</t>
  </si>
  <si>
    <t xml:space="preserve"> Утримання транспортних засобів</t>
  </si>
  <si>
    <t>Амортизація</t>
  </si>
  <si>
    <t>в т.ч. площа, що обслуговується  ліфтами</t>
  </si>
  <si>
    <t>в т.ч. квартирна плата</t>
  </si>
  <si>
    <t xml:space="preserve">         з неї: плата населенням</t>
  </si>
  <si>
    <t xml:space="preserve">                   субсидії</t>
  </si>
  <si>
    <t xml:space="preserve">                   пільги </t>
  </si>
  <si>
    <t>коп. на 1 м2</t>
  </si>
  <si>
    <t xml:space="preserve"> на собівартість-усього</t>
  </si>
  <si>
    <t>Фінансовий результат від звичайної діяльності до оподаткування (прибуток (+), збиток (-)</t>
  </si>
  <si>
    <t>Податок на прибуток</t>
  </si>
  <si>
    <t>Фінансовий  результат від операційної діяльності, прибуток (+), збиток (-)</t>
  </si>
  <si>
    <t>Інші доходи</t>
  </si>
  <si>
    <t>Інші витрати</t>
  </si>
  <si>
    <t>Чистий прибуток (+), збиток (-)</t>
  </si>
  <si>
    <t>Рентабельність, %</t>
  </si>
  <si>
    <t>Рівень відшкодування затвердженими тарифами фактичної собівартості, %</t>
  </si>
  <si>
    <t>нараховано, всього, в т.ч.:</t>
  </si>
  <si>
    <t>на розвиток виробництва (%)</t>
  </si>
  <si>
    <t>на матеріальне заохочення (%)</t>
  </si>
  <si>
    <t>інші фонди (%)</t>
  </si>
  <si>
    <t>фактично використано, всього, в т.ч.</t>
  </si>
  <si>
    <t>13.1.</t>
  </si>
  <si>
    <t>13.2.</t>
  </si>
  <si>
    <t>поточна:</t>
  </si>
  <si>
    <t>в тому числі по зар.платі</t>
  </si>
  <si>
    <t>15.1.</t>
  </si>
  <si>
    <t>по квартплаті</t>
  </si>
  <si>
    <t>15.1.1.</t>
  </si>
  <si>
    <t>15.1.2.</t>
  </si>
  <si>
    <t>безнадійна</t>
  </si>
  <si>
    <t>15.2.</t>
  </si>
  <si>
    <t>інша</t>
  </si>
  <si>
    <t>Середньоспискова чисельність працівників</t>
  </si>
  <si>
    <t>в т.ч. АУП</t>
  </si>
  <si>
    <t>Середньомісячна заробітна плата працюючих</t>
  </si>
  <si>
    <t>16.1.</t>
  </si>
  <si>
    <t>16.1.1.</t>
  </si>
  <si>
    <t>16.1.2.</t>
  </si>
  <si>
    <t>16.2.</t>
  </si>
  <si>
    <t>17.1.</t>
  </si>
  <si>
    <t>17.1.1.</t>
  </si>
  <si>
    <t>17.1.2.</t>
  </si>
  <si>
    <t>17.2.</t>
  </si>
  <si>
    <t>Фактично отримані доходи, всього (без ПДВ)</t>
  </si>
  <si>
    <t>Використання чистого прибутку, всього, в т.ч.</t>
  </si>
  <si>
    <t>збори з орендарів</t>
  </si>
  <si>
    <t xml:space="preserve">Інші доходи, всього, в т.ч.(розшифрувати) </t>
  </si>
  <si>
    <t>Кредиторська заборгованість</t>
  </si>
  <si>
    <t>Загальна площа житлових приміщень, т.кв.м.</t>
  </si>
  <si>
    <t>Кількість ліфтів, одиниць</t>
  </si>
  <si>
    <t>Здійснено перерахунки мешканцям згідно побудинкового обліку за ненадані послуги</t>
  </si>
  <si>
    <t>залишок по фондах на початок року</t>
  </si>
  <si>
    <t>залишок по фондах на кінець року</t>
  </si>
  <si>
    <t xml:space="preserve">на розвиток виробництва </t>
  </si>
  <si>
    <t xml:space="preserve">на матеріальне заохочення </t>
  </si>
  <si>
    <t xml:space="preserve">інші фонди </t>
  </si>
  <si>
    <t>-</t>
  </si>
  <si>
    <t>3.4.1.</t>
  </si>
  <si>
    <t>3.4.2.</t>
  </si>
  <si>
    <t>3.7.1.</t>
  </si>
  <si>
    <t>3.7.2.</t>
  </si>
  <si>
    <t>- плата орендарями та власниками нежитлових приміщень</t>
  </si>
  <si>
    <t>Плата за послуги з утримання будинків і споруд та прибудинкових територій</t>
  </si>
  <si>
    <t xml:space="preserve"> - інші доходи за виконані роботи (бюджетні кошти-розшифрувати)</t>
  </si>
  <si>
    <t>ФОП осн.працівників</t>
  </si>
  <si>
    <t>% накладних та загальногосп.витрат до ФОП</t>
  </si>
  <si>
    <t xml:space="preserve">Інше (розшифрувати) </t>
  </si>
  <si>
    <t>утримання електрика (за рах. РЕМ)</t>
  </si>
  <si>
    <t xml:space="preserve">       накладні витрати</t>
  </si>
  <si>
    <t>Дебіторська заборгованість на 01.01.2014р., всього, в т.ч.</t>
  </si>
  <si>
    <t>на 01.01.2014р.</t>
  </si>
  <si>
    <t xml:space="preserve"> 3.11.</t>
  </si>
  <si>
    <t>3.12.</t>
  </si>
  <si>
    <t>Дебіторська заборгованість на 01.01.2015р., всього, в т.ч.</t>
  </si>
  <si>
    <t>на 01.01.2015р.</t>
  </si>
  <si>
    <t>на 01.01.2016р.</t>
  </si>
  <si>
    <t>Дебіторська заборгованість на 01.01.2016р., всього, в т.ч.</t>
  </si>
  <si>
    <t>18.1.</t>
  </si>
  <si>
    <t>18.1.1.</t>
  </si>
  <si>
    <t>18.1.2.</t>
  </si>
  <si>
    <t>18.2.</t>
  </si>
  <si>
    <t>витрати, пов"язані з іншою діяльністю КЖРЕПів (розшифрувати)</t>
  </si>
  <si>
    <t>Факт за 2015 рік</t>
  </si>
  <si>
    <t>на 01.01.2017р.</t>
  </si>
  <si>
    <t>Дебіторська заборгованість на 01.01.2017р., всього, в т.ч.</t>
  </si>
  <si>
    <t>Фінансова підтримка (розшифрувати)</t>
  </si>
  <si>
    <t>в т.ч.послуги МКП"Теплокомуненерго"</t>
  </si>
  <si>
    <t>зріз дерев</t>
  </si>
  <si>
    <t>покіс трав</t>
  </si>
  <si>
    <t>прибирання закріплених</t>
  </si>
  <si>
    <t>сміттєзвалища</t>
  </si>
  <si>
    <t>хлорування</t>
  </si>
  <si>
    <t>місячник</t>
  </si>
  <si>
    <t>пот.ремонт та прибирання майданчиків</t>
  </si>
  <si>
    <t>повірка лічильників</t>
  </si>
  <si>
    <t>матеріали</t>
  </si>
  <si>
    <t>аналіз води</t>
  </si>
  <si>
    <t>аншлаги</t>
  </si>
  <si>
    <t>бомбосховища</t>
  </si>
  <si>
    <t>платні послуги</t>
  </si>
  <si>
    <t>інші (інтернет провайдери)</t>
  </si>
  <si>
    <t>інтернет провайдери</t>
  </si>
  <si>
    <t>відшкодовано витрат за бюджетні кошти:</t>
  </si>
  <si>
    <t>прибирання закріплених територій</t>
  </si>
  <si>
    <t>хлорування криниць</t>
  </si>
  <si>
    <t>Петрівський ярмарок</t>
  </si>
  <si>
    <t>1грн.60</t>
  </si>
  <si>
    <t>папорці</t>
  </si>
  <si>
    <t>прапорці</t>
  </si>
  <si>
    <t>1грн.59</t>
  </si>
  <si>
    <t>дозвола ліфти</t>
  </si>
  <si>
    <t>Матеріали</t>
  </si>
  <si>
    <t>Прапорці</t>
  </si>
  <si>
    <t>Аншлаги</t>
  </si>
  <si>
    <t>Поточний ремонт споруд Ц.О.</t>
  </si>
  <si>
    <t>Дозвола на ліфти</t>
  </si>
  <si>
    <t>1грн.64</t>
  </si>
  <si>
    <t>експлуатаційні витрати від орендарів</t>
  </si>
  <si>
    <t>оплата  різниці в ціні при освітленні сходинкових клітин (за рахунок нарахування на заробітну плату)</t>
  </si>
  <si>
    <t>Економіст</t>
  </si>
  <si>
    <t>Прогноз на 9 місяців 2016р.</t>
  </si>
  <si>
    <t>Керівник</t>
  </si>
  <si>
    <t>петрівський ярмарок</t>
  </si>
  <si>
    <t>Виконання фінансового плану за  2016 рік по КЖРЕП №9</t>
  </si>
  <si>
    <t>Факт 2016р.</t>
  </si>
  <si>
    <t>Дебіторська заборгованість на 01,01.207р., всього, в т.ч.</t>
  </si>
  <si>
    <r>
      <t xml:space="preserve">Інші витрати </t>
    </r>
    <r>
      <rPr>
        <i/>
        <sz val="10"/>
        <rFont val="Arial"/>
        <family val="2"/>
        <charset val="204"/>
      </rPr>
      <t>(чергові,комірник, прибиральн,пр.)</t>
    </r>
  </si>
  <si>
    <t xml:space="preserve">                    </t>
  </si>
  <si>
    <t>План на 2016 рік</t>
  </si>
  <si>
    <t>Відхилення / гр.4  гр.3/</t>
  </si>
  <si>
    <t>/тис.грн./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</si>
</sst>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04" formatCode="0.0"/>
  </numFmts>
  <fonts count="8" x14ac:knownFonts="1">
    <font>
      <sz val="10"/>
      <name val="Arial"/>
    </font>
    <font>
      <sz val="9"/>
      <name val="Arial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0">
    <xf numFmtId="0" fontId="0" fillId="0" borderId="0" xfId="0"/>
    <xf numFmtId="0" fontId="0" fillId="0" borderId="0" xfId="0" applyBorder="1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/>
    <xf numFmtId="0" fontId="1" fillId="0" borderId="0" xfId="0" applyFont="1" applyFill="1" applyBorder="1"/>
    <xf numFmtId="0" fontId="0" fillId="0" borderId="0" xfId="0" applyFill="1"/>
    <xf numFmtId="204" fontId="5" fillId="0" borderId="1" xfId="0" applyNumberFormat="1" applyFont="1" applyFill="1" applyBorder="1" applyAlignment="1">
      <alignment horizontal="center"/>
    </xf>
    <xf numFmtId="204" fontId="5" fillId="0" borderId="3" xfId="0" applyNumberFormat="1" applyFont="1" applyFill="1" applyBorder="1" applyAlignment="1">
      <alignment horizontal="center"/>
    </xf>
    <xf numFmtId="0" fontId="5" fillId="0" borderId="1" xfId="0" applyFont="1" applyFill="1" applyBorder="1"/>
    <xf numFmtId="204" fontId="3" fillId="0" borderId="2" xfId="0" applyNumberFormat="1" applyFont="1" applyFill="1" applyBorder="1"/>
    <xf numFmtId="0" fontId="5" fillId="0" borderId="3" xfId="0" applyFont="1" applyFill="1" applyBorder="1"/>
    <xf numFmtId="204" fontId="3" fillId="0" borderId="4" xfId="0" applyNumberFormat="1" applyFont="1" applyFill="1" applyBorder="1" applyAlignment="1">
      <alignment horizontal="center"/>
    </xf>
    <xf numFmtId="204" fontId="3" fillId="0" borderId="4" xfId="0" applyNumberFormat="1" applyFont="1" applyFill="1" applyBorder="1"/>
    <xf numFmtId="0" fontId="5" fillId="0" borderId="5" xfId="0" applyFont="1" applyFill="1" applyBorder="1"/>
    <xf numFmtId="204" fontId="2" fillId="0" borderId="1" xfId="0" applyNumberFormat="1" applyFont="1" applyBorder="1" applyAlignment="1">
      <alignment horizontal="center"/>
    </xf>
    <xf numFmtId="0" fontId="2" fillId="0" borderId="6" xfId="0" applyFont="1" applyBorder="1"/>
    <xf numFmtId="0" fontId="2" fillId="0" borderId="4" xfId="0" applyFont="1" applyBorder="1"/>
    <xf numFmtId="204" fontId="2" fillId="0" borderId="7" xfId="0" applyNumberFormat="1" applyFont="1" applyBorder="1" applyAlignment="1">
      <alignment horizontal="center"/>
    </xf>
    <xf numFmtId="204" fontId="2" fillId="0" borderId="8" xfId="0" applyNumberFormat="1" applyFont="1" applyBorder="1" applyAlignment="1">
      <alignment horizontal="center"/>
    </xf>
    <xf numFmtId="0" fontId="2" fillId="0" borderId="2" xfId="0" applyFont="1" applyBorder="1"/>
    <xf numFmtId="0" fontId="2" fillId="0" borderId="9" xfId="0" applyFont="1" applyBorder="1"/>
    <xf numFmtId="204" fontId="2" fillId="0" borderId="2" xfId="0" applyNumberFormat="1" applyFont="1" applyBorder="1" applyAlignment="1">
      <alignment horizontal="center"/>
    </xf>
    <xf numFmtId="204" fontId="2" fillId="0" borderId="9" xfId="0" applyNumberFormat="1" applyFont="1" applyBorder="1" applyAlignment="1">
      <alignment horizontal="center"/>
    </xf>
    <xf numFmtId="204" fontId="3" fillId="0" borderId="4" xfId="0" applyNumberFormat="1" applyFont="1" applyBorder="1" applyAlignment="1">
      <alignment horizontal="center"/>
    </xf>
    <xf numFmtId="204" fontId="5" fillId="0" borderId="6" xfId="0" applyNumberFormat="1" applyFont="1" applyBorder="1" applyAlignment="1">
      <alignment horizontal="center"/>
    </xf>
    <xf numFmtId="204" fontId="5" fillId="0" borderId="1" xfId="0" applyNumberFormat="1" applyFont="1" applyBorder="1" applyAlignment="1">
      <alignment horizontal="center"/>
    </xf>
    <xf numFmtId="204" fontId="3" fillId="0" borderId="1" xfId="0" applyNumberFormat="1" applyFont="1" applyBorder="1" applyAlignment="1">
      <alignment horizontal="center"/>
    </xf>
    <xf numFmtId="204" fontId="2" fillId="0" borderId="10" xfId="0" applyNumberFormat="1" applyFont="1" applyBorder="1" applyAlignment="1">
      <alignment horizontal="center"/>
    </xf>
    <xf numFmtId="204" fontId="2" fillId="0" borderId="11" xfId="0" applyNumberFormat="1" applyFont="1" applyBorder="1" applyAlignment="1">
      <alignment horizontal="center"/>
    </xf>
    <xf numFmtId="204" fontId="0" fillId="0" borderId="0" xfId="0" applyNumberFormat="1"/>
    <xf numFmtId="204" fontId="3" fillId="0" borderId="11" xfId="0" applyNumberFormat="1" applyFont="1" applyFill="1" applyBorder="1" applyAlignment="1">
      <alignment horizontal="center"/>
    </xf>
    <xf numFmtId="204" fontId="5" fillId="0" borderId="12" xfId="0" applyNumberFormat="1" applyFont="1" applyFill="1" applyBorder="1" applyAlignment="1">
      <alignment horizontal="center"/>
    </xf>
    <xf numFmtId="204" fontId="2" fillId="0" borderId="8" xfId="0" applyNumberFormat="1" applyFont="1" applyFill="1" applyBorder="1" applyAlignment="1">
      <alignment horizontal="center"/>
    </xf>
    <xf numFmtId="204" fontId="2" fillId="0" borderId="2" xfId="0" applyNumberFormat="1" applyFont="1" applyFill="1" applyBorder="1" applyAlignment="1">
      <alignment horizontal="center"/>
    </xf>
    <xf numFmtId="204" fontId="2" fillId="0" borderId="11" xfId="0" applyNumberFormat="1" applyFont="1" applyFill="1" applyBorder="1" applyAlignment="1">
      <alignment horizontal="center"/>
    </xf>
    <xf numFmtId="204" fontId="2" fillId="0" borderId="9" xfId="0" applyNumberFormat="1" applyFont="1" applyFill="1" applyBorder="1" applyAlignment="1">
      <alignment horizontal="center"/>
    </xf>
    <xf numFmtId="204" fontId="2" fillId="0" borderId="13" xfId="0" applyNumberFormat="1" applyFont="1" applyFill="1" applyBorder="1" applyAlignment="1">
      <alignment horizontal="center"/>
    </xf>
    <xf numFmtId="204" fontId="3" fillId="0" borderId="14" xfId="0" applyNumberFormat="1" applyFont="1" applyFill="1" applyBorder="1" applyAlignment="1">
      <alignment horizontal="center"/>
    </xf>
    <xf numFmtId="204" fontId="3" fillId="0" borderId="15" xfId="0" applyNumberFormat="1" applyFont="1" applyFill="1" applyBorder="1" applyAlignment="1">
      <alignment horizontal="center"/>
    </xf>
    <xf numFmtId="204" fontId="3" fillId="0" borderId="16" xfId="0" applyNumberFormat="1" applyFont="1" applyFill="1" applyBorder="1" applyAlignment="1">
      <alignment horizontal="center"/>
    </xf>
    <xf numFmtId="204" fontId="3" fillId="0" borderId="17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204" fontId="2" fillId="0" borderId="18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204" fontId="2" fillId="0" borderId="7" xfId="0" applyNumberFormat="1" applyFont="1" applyFill="1" applyBorder="1" applyAlignment="1">
      <alignment horizontal="center"/>
    </xf>
    <xf numFmtId="204" fontId="2" fillId="0" borderId="6" xfId="0" applyNumberFormat="1" applyFont="1" applyBorder="1" applyAlignment="1">
      <alignment horizontal="center"/>
    </xf>
    <xf numFmtId="204" fontId="2" fillId="0" borderId="19" xfId="0" applyNumberFormat="1" applyFont="1" applyBorder="1" applyAlignment="1">
      <alignment horizontal="center"/>
    </xf>
    <xf numFmtId="204" fontId="2" fillId="0" borderId="15" xfId="0" applyNumberFormat="1" applyFont="1" applyFill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204" fontId="3" fillId="0" borderId="20" xfId="0" applyNumberFormat="1" applyFont="1" applyFill="1" applyBorder="1" applyAlignment="1">
      <alignment horizontal="center"/>
    </xf>
    <xf numFmtId="204" fontId="2" fillId="0" borderId="21" xfId="0" applyNumberFormat="1" applyFont="1" applyFill="1" applyBorder="1" applyAlignment="1">
      <alignment horizontal="center"/>
    </xf>
    <xf numFmtId="204" fontId="2" fillId="0" borderId="22" xfId="0" applyNumberFormat="1" applyFont="1" applyFill="1" applyBorder="1" applyAlignment="1">
      <alignment horizontal="center"/>
    </xf>
    <xf numFmtId="0" fontId="2" fillId="0" borderId="3" xfId="0" applyFont="1" applyBorder="1"/>
    <xf numFmtId="0" fontId="2" fillId="0" borderId="20" xfId="0" applyFont="1" applyBorder="1"/>
    <xf numFmtId="204" fontId="2" fillId="0" borderId="4" xfId="0" applyNumberFormat="1" applyFont="1" applyFill="1" applyBorder="1" applyAlignment="1">
      <alignment horizontal="center"/>
    </xf>
    <xf numFmtId="204" fontId="2" fillId="0" borderId="17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204" fontId="4" fillId="0" borderId="1" xfId="0" applyNumberFormat="1" applyFont="1" applyBorder="1" applyAlignment="1">
      <alignment horizontal="center"/>
    </xf>
    <xf numFmtId="204" fontId="4" fillId="0" borderId="13" xfId="0" applyNumberFormat="1" applyFont="1" applyBorder="1" applyAlignment="1">
      <alignment horizontal="center"/>
    </xf>
    <xf numFmtId="204" fontId="2" fillId="0" borderId="13" xfId="0" applyNumberFormat="1" applyFont="1" applyBorder="1" applyAlignment="1">
      <alignment horizontal="center"/>
    </xf>
    <xf numFmtId="204" fontId="3" fillId="0" borderId="13" xfId="0" applyNumberFormat="1" applyFont="1" applyBorder="1" applyAlignment="1">
      <alignment horizontal="center"/>
    </xf>
    <xf numFmtId="204" fontId="5" fillId="0" borderId="10" xfId="0" applyNumberFormat="1" applyFont="1" applyBorder="1" applyAlignment="1">
      <alignment horizontal="center"/>
    </xf>
    <xf numFmtId="0" fontId="4" fillId="0" borderId="3" xfId="0" applyFont="1" applyBorder="1"/>
    <xf numFmtId="0" fontId="6" fillId="2" borderId="0" xfId="0" applyFont="1" applyFill="1"/>
    <xf numFmtId="0" fontId="0" fillId="2" borderId="0" xfId="0" applyFill="1"/>
    <xf numFmtId="0" fontId="0" fillId="2" borderId="0" xfId="0" applyFill="1" applyBorder="1"/>
    <xf numFmtId="204" fontId="3" fillId="2" borderId="4" xfId="0" applyNumberFormat="1" applyFont="1" applyFill="1" applyBorder="1" applyAlignment="1">
      <alignment horizontal="center"/>
    </xf>
    <xf numFmtId="204" fontId="3" fillId="2" borderId="2" xfId="0" applyNumberFormat="1" applyFont="1" applyFill="1" applyBorder="1" applyAlignment="1">
      <alignment horizontal="center"/>
    </xf>
    <xf numFmtId="204" fontId="5" fillId="2" borderId="1" xfId="0" applyNumberFormat="1" applyFont="1" applyFill="1" applyBorder="1"/>
    <xf numFmtId="204" fontId="4" fillId="2" borderId="19" xfId="0" applyNumberFormat="1" applyFont="1" applyFill="1" applyBorder="1"/>
    <xf numFmtId="204" fontId="5" fillId="2" borderId="19" xfId="0" applyNumberFormat="1" applyFont="1" applyFill="1" applyBorder="1"/>
    <xf numFmtId="204" fontId="2" fillId="2" borderId="6" xfId="0" applyNumberFormat="1" applyFont="1" applyFill="1" applyBorder="1" applyAlignment="1">
      <alignment horizontal="center"/>
    </xf>
    <xf numFmtId="204" fontId="2" fillId="2" borderId="8" xfId="0" applyNumberFormat="1" applyFont="1" applyFill="1" applyBorder="1" applyAlignment="1">
      <alignment horizontal="center"/>
    </xf>
    <xf numFmtId="204" fontId="2" fillId="2" borderId="11" xfId="0" applyNumberFormat="1" applyFont="1" applyFill="1" applyBorder="1" applyAlignment="1">
      <alignment horizontal="center"/>
    </xf>
    <xf numFmtId="204" fontId="2" fillId="2" borderId="9" xfId="0" applyNumberFormat="1" applyFont="1" applyFill="1" applyBorder="1" applyAlignment="1">
      <alignment horizontal="center"/>
    </xf>
    <xf numFmtId="204" fontId="2" fillId="2" borderId="13" xfId="0" applyNumberFormat="1" applyFont="1" applyFill="1" applyBorder="1" applyAlignment="1">
      <alignment horizontal="center"/>
    </xf>
    <xf numFmtId="0" fontId="2" fillId="0" borderId="0" xfId="0" applyFont="1"/>
    <xf numFmtId="204" fontId="3" fillId="2" borderId="11" xfId="0" applyNumberFormat="1" applyFont="1" applyFill="1" applyBorder="1" applyAlignment="1">
      <alignment horizontal="center"/>
    </xf>
    <xf numFmtId="204" fontId="5" fillId="2" borderId="1" xfId="0" applyNumberFormat="1" applyFont="1" applyFill="1" applyBorder="1" applyAlignment="1">
      <alignment horizontal="center"/>
    </xf>
    <xf numFmtId="0" fontId="2" fillId="2" borderId="1" xfId="0" applyFont="1" applyFill="1" applyBorder="1"/>
    <xf numFmtId="0" fontId="5" fillId="0" borderId="0" xfId="0" applyFont="1"/>
    <xf numFmtId="0" fontId="5" fillId="0" borderId="0" xfId="0" applyFont="1" applyBorder="1"/>
    <xf numFmtId="0" fontId="5" fillId="2" borderId="0" xfId="0" applyFont="1" applyFill="1" applyBorder="1"/>
    <xf numFmtId="0" fontId="5" fillId="2" borderId="0" xfId="0" applyFont="1" applyFill="1"/>
    <xf numFmtId="0" fontId="5" fillId="0" borderId="0" xfId="0" applyFont="1" applyBorder="1" applyAlignment="1"/>
    <xf numFmtId="0" fontId="5" fillId="0" borderId="0" xfId="0" applyFont="1" applyFill="1" applyBorder="1"/>
    <xf numFmtId="0" fontId="5" fillId="0" borderId="0" xfId="0" applyFont="1" applyFill="1"/>
    <xf numFmtId="0" fontId="5" fillId="0" borderId="11" xfId="0" applyFont="1" applyBorder="1"/>
    <xf numFmtId="0" fontId="5" fillId="0" borderId="8" xfId="0" applyFont="1" applyBorder="1"/>
    <xf numFmtId="0" fontId="5" fillId="0" borderId="7" xfId="0" applyFont="1" applyBorder="1" applyAlignment="1">
      <alignment wrapText="1"/>
    </xf>
    <xf numFmtId="0" fontId="5" fillId="0" borderId="20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11" xfId="0" applyFont="1" applyBorder="1"/>
    <xf numFmtId="204" fontId="2" fillId="0" borderId="23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204" fontId="2" fillId="2" borderId="23" xfId="0" applyNumberFormat="1" applyFont="1" applyFill="1" applyBorder="1" applyAlignment="1">
      <alignment horizontal="center"/>
    </xf>
    <xf numFmtId="204" fontId="5" fillId="0" borderId="21" xfId="0" applyNumberFormat="1" applyFont="1" applyFill="1" applyBorder="1" applyAlignment="1">
      <alignment horizontal="center"/>
    </xf>
    <xf numFmtId="0" fontId="5" fillId="0" borderId="22" xfId="0" applyFont="1" applyFill="1" applyBorder="1"/>
    <xf numFmtId="0" fontId="5" fillId="0" borderId="9" xfId="0" applyFont="1" applyFill="1" applyBorder="1"/>
    <xf numFmtId="0" fontId="5" fillId="0" borderId="24" xfId="0" applyFont="1" applyFill="1" applyBorder="1"/>
    <xf numFmtId="0" fontId="5" fillId="2" borderId="9" xfId="0" applyFont="1" applyFill="1" applyBorder="1"/>
    <xf numFmtId="0" fontId="5" fillId="0" borderId="7" xfId="0" applyFont="1" applyBorder="1"/>
    <xf numFmtId="0" fontId="5" fillId="0" borderId="9" xfId="0" applyFont="1" applyBorder="1"/>
    <xf numFmtId="0" fontId="2" fillId="0" borderId="22" xfId="0" applyFont="1" applyBorder="1" applyAlignment="1">
      <alignment horizontal="center"/>
    </xf>
    <xf numFmtId="204" fontId="2" fillId="0" borderId="25" xfId="0" applyNumberFormat="1" applyFont="1" applyFill="1" applyBorder="1"/>
    <xf numFmtId="0" fontId="2" fillId="0" borderId="9" xfId="0" applyFont="1" applyBorder="1" applyAlignment="1">
      <alignment horizontal="center"/>
    </xf>
    <xf numFmtId="204" fontId="2" fillId="2" borderId="25" xfId="0" applyNumberFormat="1" applyFont="1" applyFill="1" applyBorder="1" applyAlignment="1">
      <alignment horizontal="center"/>
    </xf>
    <xf numFmtId="204" fontId="2" fillId="0" borderId="26" xfId="0" applyNumberFormat="1" applyFont="1" applyFill="1" applyBorder="1" applyAlignment="1">
      <alignment horizontal="center"/>
    </xf>
    <xf numFmtId="204" fontId="2" fillId="0" borderId="24" xfId="0" applyNumberFormat="1" applyFont="1" applyFill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4" xfId="0" applyFont="1" applyBorder="1" applyAlignment="1">
      <alignment wrapText="1"/>
    </xf>
    <xf numFmtId="0" fontId="2" fillId="0" borderId="12" xfId="0" applyFont="1" applyBorder="1" applyAlignment="1">
      <alignment horizontal="center"/>
    </xf>
    <xf numFmtId="0" fontId="5" fillId="0" borderId="1" xfId="0" applyFont="1" applyBorder="1"/>
    <xf numFmtId="204" fontId="5" fillId="0" borderId="3" xfId="0" applyNumberFormat="1" applyFont="1" applyBorder="1" applyAlignment="1">
      <alignment horizontal="center"/>
    </xf>
    <xf numFmtId="204" fontId="5" fillId="0" borderId="19" xfId="0" applyNumberFormat="1" applyFont="1" applyFill="1" applyBorder="1" applyAlignment="1">
      <alignment horizontal="center"/>
    </xf>
    <xf numFmtId="204" fontId="5" fillId="0" borderId="13" xfId="0" applyNumberFormat="1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204" fontId="5" fillId="2" borderId="6" xfId="0" applyNumberFormat="1" applyFont="1" applyFill="1" applyBorder="1" applyAlignment="1">
      <alignment horizontal="center"/>
    </xf>
    <xf numFmtId="204" fontId="5" fillId="0" borderId="2" xfId="0" applyNumberFormat="1" applyFont="1" applyFill="1" applyBorder="1" applyAlignment="1">
      <alignment horizontal="center"/>
    </xf>
    <xf numFmtId="49" fontId="5" fillId="0" borderId="1" xfId="0" applyNumberFormat="1" applyFont="1" applyBorder="1" applyAlignment="1">
      <alignment wrapText="1"/>
    </xf>
    <xf numFmtId="0" fontId="2" fillId="0" borderId="27" xfId="0" applyFont="1" applyBorder="1" applyAlignment="1">
      <alignment horizontal="center"/>
    </xf>
    <xf numFmtId="0" fontId="5" fillId="0" borderId="10" xfId="0" applyFont="1" applyBorder="1"/>
    <xf numFmtId="204" fontId="5" fillId="0" borderId="28" xfId="0" applyNumberFormat="1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204" fontId="5" fillId="2" borderId="10" xfId="0" applyNumberFormat="1" applyFont="1" applyFill="1" applyBorder="1" applyAlignment="1">
      <alignment horizontal="center"/>
    </xf>
    <xf numFmtId="204" fontId="5" fillId="0" borderId="10" xfId="0" applyNumberFormat="1" applyFont="1" applyFill="1" applyBorder="1" applyAlignment="1">
      <alignment horizontal="center"/>
    </xf>
    <xf numFmtId="0" fontId="5" fillId="0" borderId="28" xfId="0" applyFont="1" applyFill="1" applyBorder="1"/>
    <xf numFmtId="0" fontId="5" fillId="0" borderId="10" xfId="0" applyFont="1" applyFill="1" applyBorder="1"/>
    <xf numFmtId="0" fontId="5" fillId="0" borderId="27" xfId="0" applyFont="1" applyFill="1" applyBorder="1"/>
    <xf numFmtId="204" fontId="5" fillId="2" borderId="8" xfId="0" applyNumberFormat="1" applyFont="1" applyFill="1" applyBorder="1" applyAlignment="1">
      <alignment horizontal="center"/>
    </xf>
    <xf numFmtId="0" fontId="2" fillId="0" borderId="15" xfId="0" applyFont="1" applyBorder="1" applyAlignment="1">
      <alignment horizontal="center"/>
    </xf>
    <xf numFmtId="204" fontId="3" fillId="0" borderId="2" xfId="0" applyNumberFormat="1" applyFont="1" applyFill="1" applyBorder="1" applyAlignment="1">
      <alignment horizontal="center"/>
    </xf>
    <xf numFmtId="204" fontId="3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2" xfId="0" applyFont="1" applyFill="1" applyBorder="1"/>
    <xf numFmtId="0" fontId="5" fillId="0" borderId="3" xfId="0" applyFont="1" applyBorder="1" applyAlignment="1">
      <alignment horizontal="center"/>
    </xf>
    <xf numFmtId="0" fontId="5" fillId="2" borderId="1" xfId="0" applyFont="1" applyFill="1" applyBorder="1"/>
    <xf numFmtId="0" fontId="5" fillId="0" borderId="3" xfId="0" applyFont="1" applyBorder="1"/>
    <xf numFmtId="0" fontId="5" fillId="0" borderId="1" xfId="0" applyFont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4" fillId="0" borderId="3" xfId="0" applyFont="1" applyFill="1" applyBorder="1"/>
    <xf numFmtId="204" fontId="4" fillId="0" borderId="3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204" fontId="4" fillId="0" borderId="12" xfId="0" applyNumberFormat="1" applyFont="1" applyFill="1" applyBorder="1" applyAlignment="1">
      <alignment horizontal="center"/>
    </xf>
    <xf numFmtId="204" fontId="4" fillId="2" borderId="6" xfId="0" applyNumberFormat="1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204" fontId="4" fillId="2" borderId="1" xfId="0" applyNumberFormat="1" applyFont="1" applyFill="1" applyBorder="1" applyAlignment="1">
      <alignment horizontal="center"/>
    </xf>
    <xf numFmtId="204" fontId="4" fillId="0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204" fontId="4" fillId="2" borderId="19" xfId="0" applyNumberFormat="1" applyFont="1" applyFill="1" applyBorder="1" applyAlignment="1">
      <alignment horizontal="center"/>
    </xf>
    <xf numFmtId="204" fontId="5" fillId="2" borderId="2" xfId="0" applyNumberFormat="1" applyFont="1" applyFill="1" applyBorder="1"/>
    <xf numFmtId="0" fontId="2" fillId="0" borderId="29" xfId="0" applyFont="1" applyBorder="1" applyAlignment="1">
      <alignment horizontal="center"/>
    </xf>
    <xf numFmtId="0" fontId="4" fillId="0" borderId="19" xfId="0" applyFont="1" applyFill="1" applyBorder="1" applyAlignment="1">
      <alignment wrapText="1"/>
    </xf>
    <xf numFmtId="0" fontId="5" fillId="0" borderId="19" xfId="0" applyFont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19" xfId="0" applyFont="1" applyFill="1" applyBorder="1" applyAlignment="1">
      <alignment horizontal="center"/>
    </xf>
    <xf numFmtId="0" fontId="4" fillId="0" borderId="29" xfId="0" applyFont="1" applyFill="1" applyBorder="1" applyAlignment="1">
      <alignment horizontal="center"/>
    </xf>
    <xf numFmtId="204" fontId="5" fillId="2" borderId="6" xfId="0" applyNumberFormat="1" applyFont="1" applyFill="1" applyBorder="1"/>
    <xf numFmtId="0" fontId="4" fillId="0" borderId="10" xfId="0" applyFont="1" applyFill="1" applyBorder="1" applyAlignment="1">
      <alignment horizontal="center"/>
    </xf>
    <xf numFmtId="0" fontId="4" fillId="0" borderId="27" xfId="0" applyFont="1" applyFill="1" applyBorder="1" applyAlignment="1">
      <alignment horizontal="center"/>
    </xf>
    <xf numFmtId="204" fontId="5" fillId="2" borderId="10" xfId="0" applyNumberFormat="1" applyFont="1" applyFill="1" applyBorder="1"/>
    <xf numFmtId="0" fontId="5" fillId="2" borderId="19" xfId="0" applyFont="1" applyFill="1" applyBorder="1"/>
    <xf numFmtId="204" fontId="2" fillId="0" borderId="4" xfId="0" applyNumberFormat="1" applyFont="1" applyBorder="1" applyAlignment="1">
      <alignment horizontal="center"/>
    </xf>
    <xf numFmtId="204" fontId="2" fillId="2" borderId="4" xfId="0" applyNumberFormat="1" applyFont="1" applyFill="1" applyBorder="1" applyAlignment="1">
      <alignment horizontal="center"/>
    </xf>
    <xf numFmtId="204" fontId="2" fillId="0" borderId="14" xfId="0" applyNumberFormat="1" applyFont="1" applyFill="1" applyBorder="1" applyAlignment="1">
      <alignment horizontal="center"/>
    </xf>
    <xf numFmtId="204" fontId="2" fillId="2" borderId="2" xfId="0" applyNumberFormat="1" applyFont="1" applyFill="1" applyBorder="1" applyAlignment="1">
      <alignment horizontal="center"/>
    </xf>
    <xf numFmtId="204" fontId="5" fillId="0" borderId="2" xfId="0" applyNumberFormat="1" applyFont="1" applyBorder="1" applyAlignment="1">
      <alignment horizontal="center"/>
    </xf>
    <xf numFmtId="0" fontId="4" fillId="0" borderId="1" xfId="0" applyFont="1" applyFill="1" applyBorder="1"/>
    <xf numFmtId="0" fontId="4" fillId="0" borderId="10" xfId="0" applyFont="1" applyFill="1" applyBorder="1"/>
    <xf numFmtId="0" fontId="5" fillId="0" borderId="28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27" xfId="0" applyFont="1" applyFill="1" applyBorder="1" applyAlignment="1">
      <alignment horizontal="center"/>
    </xf>
    <xf numFmtId="204" fontId="5" fillId="0" borderId="8" xfId="0" applyNumberFormat="1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204" fontId="2" fillId="0" borderId="6" xfId="0" applyNumberFormat="1" applyFont="1" applyFill="1" applyBorder="1" applyAlignment="1">
      <alignment horizontal="center"/>
    </xf>
    <xf numFmtId="0" fontId="5" fillId="0" borderId="20" xfId="0" applyFont="1" applyFill="1" applyBorder="1"/>
    <xf numFmtId="0" fontId="5" fillId="0" borderId="13" xfId="0" applyFont="1" applyBorder="1"/>
    <xf numFmtId="0" fontId="4" fillId="0" borderId="12" xfId="0" applyFont="1" applyBorder="1" applyAlignment="1">
      <alignment horizontal="center"/>
    </xf>
    <xf numFmtId="204" fontId="2" fillId="0" borderId="19" xfId="0" applyNumberFormat="1" applyFont="1" applyFill="1" applyBorder="1" applyAlignment="1">
      <alignment horizontal="center"/>
    </xf>
    <xf numFmtId="0" fontId="4" fillId="0" borderId="29" xfId="0" applyFont="1" applyFill="1" applyBorder="1"/>
    <xf numFmtId="204" fontId="2" fillId="0" borderId="1" xfId="0" applyNumberFormat="1" applyFont="1" applyFill="1" applyBorder="1" applyAlignment="1">
      <alignment horizontal="center"/>
    </xf>
    <xf numFmtId="0" fontId="4" fillId="0" borderId="12" xfId="0" applyFont="1" applyFill="1" applyBorder="1"/>
    <xf numFmtId="0" fontId="4" fillId="0" borderId="0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0" xfId="0" applyFont="1" applyFill="1" applyBorder="1"/>
    <xf numFmtId="0" fontId="4" fillId="0" borderId="20" xfId="0" applyFont="1" applyFill="1" applyBorder="1"/>
    <xf numFmtId="0" fontId="4" fillId="0" borderId="18" xfId="0" applyFont="1" applyBorder="1" applyAlignment="1">
      <alignment horizontal="center"/>
    </xf>
    <xf numFmtId="204" fontId="4" fillId="2" borderId="8" xfId="0" applyNumberFormat="1" applyFont="1" applyFill="1" applyBorder="1" applyAlignment="1">
      <alignment horizontal="center"/>
    </xf>
    <xf numFmtId="204" fontId="4" fillId="2" borderId="10" xfId="0" applyNumberFormat="1" applyFont="1" applyFill="1" applyBorder="1" applyAlignment="1">
      <alignment horizontal="center"/>
    </xf>
    <xf numFmtId="0" fontId="5" fillId="2" borderId="19" xfId="0" applyFont="1" applyFill="1" applyBorder="1" applyAlignment="1">
      <alignment horizontal="center"/>
    </xf>
    <xf numFmtId="0" fontId="5" fillId="0" borderId="5" xfId="0" applyFont="1" applyBorder="1"/>
    <xf numFmtId="204" fontId="2" fillId="0" borderId="17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204" fontId="5" fillId="0" borderId="4" xfId="0" applyNumberFormat="1" applyFont="1" applyFill="1" applyBorder="1" applyAlignment="1">
      <alignment horizontal="center"/>
    </xf>
    <xf numFmtId="0" fontId="5" fillId="0" borderId="17" xfId="0" applyFont="1" applyFill="1" applyBorder="1"/>
    <xf numFmtId="0" fontId="5" fillId="0" borderId="4" xfId="0" applyFont="1" applyFill="1" applyBorder="1"/>
    <xf numFmtId="0" fontId="5" fillId="0" borderId="14" xfId="0" applyFont="1" applyFill="1" applyBorder="1"/>
    <xf numFmtId="204" fontId="5" fillId="2" borderId="2" xfId="0" applyNumberFormat="1" applyFont="1" applyFill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8" xfId="0" applyFont="1" applyBorder="1"/>
    <xf numFmtId="0" fontId="5" fillId="0" borderId="2" xfId="0" applyFont="1" applyBorder="1"/>
    <xf numFmtId="0" fontId="2" fillId="0" borderId="2" xfId="0" applyFont="1" applyBorder="1" applyAlignment="1">
      <alignment horizontal="center"/>
    </xf>
    <xf numFmtId="0" fontId="5" fillId="2" borderId="6" xfId="0" applyFont="1" applyFill="1" applyBorder="1"/>
    <xf numFmtId="0" fontId="5" fillId="2" borderId="2" xfId="0" applyFont="1" applyFill="1" applyBorder="1"/>
    <xf numFmtId="204" fontId="2" fillId="2" borderId="1" xfId="0" applyNumberFormat="1" applyFont="1" applyFill="1" applyBorder="1" applyAlignment="1">
      <alignment horizontal="center"/>
    </xf>
    <xf numFmtId="204" fontId="2" fillId="0" borderId="12" xfId="0" applyNumberFormat="1" applyFont="1" applyFill="1" applyBorder="1" applyAlignment="1">
      <alignment horizontal="center"/>
    </xf>
    <xf numFmtId="204" fontId="2" fillId="0" borderId="3" xfId="0" applyNumberFormat="1" applyFont="1" applyFill="1" applyBorder="1" applyAlignment="1">
      <alignment horizontal="center"/>
    </xf>
    <xf numFmtId="204" fontId="3" fillId="2" borderId="1" xfId="0" applyNumberFormat="1" applyFont="1" applyFill="1" applyBorder="1" applyAlignment="1">
      <alignment horizontal="center"/>
    </xf>
    <xf numFmtId="204" fontId="3" fillId="0" borderId="12" xfId="0" applyNumberFormat="1" applyFont="1" applyFill="1" applyBorder="1" applyAlignment="1">
      <alignment horizontal="center"/>
    </xf>
    <xf numFmtId="204" fontId="3" fillId="0" borderId="3" xfId="0" applyNumberFormat="1" applyFont="1" applyFill="1" applyBorder="1" applyAlignment="1">
      <alignment horizontal="center"/>
    </xf>
    <xf numFmtId="204" fontId="3" fillId="2" borderId="6" xfId="0" applyNumberFormat="1" applyFont="1" applyFill="1" applyBorder="1" applyAlignment="1">
      <alignment horizontal="center"/>
    </xf>
    <xf numFmtId="0" fontId="5" fillId="0" borderId="12" xfId="0" applyFont="1" applyBorder="1" applyAlignment="1">
      <alignment horizontal="center"/>
    </xf>
    <xf numFmtId="204" fontId="5" fillId="0" borderId="29" xfId="0" applyNumberFormat="1" applyFont="1" applyFill="1" applyBorder="1" applyAlignment="1">
      <alignment horizontal="center"/>
    </xf>
    <xf numFmtId="204" fontId="3" fillId="0" borderId="3" xfId="0" applyNumberFormat="1" applyFont="1" applyBorder="1" applyAlignment="1">
      <alignment horizontal="center"/>
    </xf>
    <xf numFmtId="204" fontId="3" fillId="2" borderId="3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204" fontId="2" fillId="0" borderId="3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204" fontId="2" fillId="2" borderId="3" xfId="0" applyNumberFormat="1" applyFont="1" applyFill="1" applyBorder="1" applyAlignment="1">
      <alignment horizontal="center"/>
    </xf>
    <xf numFmtId="0" fontId="5" fillId="0" borderId="29" xfId="0" applyFont="1" applyBorder="1" applyAlignment="1">
      <alignment horizontal="center"/>
    </xf>
    <xf numFmtId="204" fontId="5" fillId="0" borderId="5" xfId="0" applyNumberFormat="1" applyFont="1" applyBorder="1" applyAlignment="1">
      <alignment horizontal="center"/>
    </xf>
    <xf numFmtId="204" fontId="5" fillId="2" borderId="19" xfId="0" applyNumberFormat="1" applyFont="1" applyFill="1" applyBorder="1" applyAlignment="1">
      <alignment horizontal="center"/>
    </xf>
    <xf numFmtId="204" fontId="3" fillId="0" borderId="5" xfId="0" applyNumberFormat="1" applyFont="1" applyBorder="1" applyAlignment="1">
      <alignment horizontal="center"/>
    </xf>
    <xf numFmtId="204" fontId="3" fillId="2" borderId="19" xfId="0" applyNumberFormat="1" applyFont="1" applyFill="1" applyBorder="1" applyAlignment="1">
      <alignment horizontal="center"/>
    </xf>
    <xf numFmtId="16" fontId="2" fillId="0" borderId="15" xfId="0" applyNumberFormat="1" applyFont="1" applyBorder="1" applyAlignment="1">
      <alignment horizontal="center"/>
    </xf>
    <xf numFmtId="204" fontId="2" fillId="0" borderId="29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204" fontId="5" fillId="2" borderId="13" xfId="0" applyNumberFormat="1" applyFont="1" applyFill="1" applyBorder="1" applyAlignment="1">
      <alignment horizontal="center"/>
    </xf>
    <xf numFmtId="204" fontId="3" fillId="2" borderId="13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5" fillId="0" borderId="29" xfId="0" applyFont="1" applyFill="1" applyBorder="1"/>
    <xf numFmtId="204" fontId="3" fillId="0" borderId="5" xfId="0" applyNumberFormat="1" applyFont="1" applyFill="1" applyBorder="1" applyAlignment="1">
      <alignment horizontal="center"/>
    </xf>
    <xf numFmtId="0" fontId="5" fillId="0" borderId="13" xfId="0" applyFont="1" applyFill="1" applyBorder="1"/>
    <xf numFmtId="204" fontId="3" fillId="0" borderId="13" xfId="0" applyNumberFormat="1" applyFont="1" applyFill="1" applyBorder="1" applyAlignment="1">
      <alignment horizontal="center"/>
    </xf>
    <xf numFmtId="0" fontId="4" fillId="0" borderId="1" xfId="0" applyFont="1" applyBorder="1"/>
    <xf numFmtId="204" fontId="4" fillId="2" borderId="13" xfId="0" applyNumberFormat="1" applyFont="1" applyFill="1" applyBorder="1" applyAlignment="1">
      <alignment horizontal="center"/>
    </xf>
    <xf numFmtId="204" fontId="4" fillId="0" borderId="2" xfId="0" applyNumberFormat="1" applyFont="1" applyFill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17" fontId="3" fillId="0" borderId="1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wrapText="1"/>
    </xf>
    <xf numFmtId="204" fontId="4" fillId="0" borderId="13" xfId="0" applyNumberFormat="1" applyFont="1" applyBorder="1"/>
    <xf numFmtId="204" fontId="4" fillId="2" borderId="6" xfId="0" applyNumberFormat="1" applyFont="1" applyFill="1" applyBorder="1"/>
    <xf numFmtId="204" fontId="5" fillId="0" borderId="13" xfId="0" applyNumberFormat="1" applyFont="1" applyBorder="1"/>
    <xf numFmtId="0" fontId="3" fillId="0" borderId="1" xfId="0" applyFont="1" applyBorder="1" applyAlignment="1">
      <alignment wrapText="1"/>
    </xf>
    <xf numFmtId="204" fontId="4" fillId="2" borderId="2" xfId="0" applyNumberFormat="1" applyFont="1" applyFill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4" fillId="0" borderId="19" xfId="0" applyFont="1" applyBorder="1"/>
    <xf numFmtId="0" fontId="4" fillId="0" borderId="5" xfId="0" applyFont="1" applyBorder="1" applyAlignment="1">
      <alignment horizontal="center"/>
    </xf>
    <xf numFmtId="204" fontId="5" fillId="0" borderId="8" xfId="0" applyNumberFormat="1" applyFont="1" applyFill="1" applyBorder="1" applyAlignment="1">
      <alignment horizontal="center"/>
    </xf>
    <xf numFmtId="0" fontId="5" fillId="0" borderId="8" xfId="0" applyFont="1" applyFill="1" applyBorder="1"/>
    <xf numFmtId="0" fontId="5" fillId="0" borderId="7" xfId="0" applyFont="1" applyFill="1" applyBorder="1"/>
    <xf numFmtId="0" fontId="5" fillId="0" borderId="18" xfId="0" applyFont="1" applyFill="1" applyBorder="1"/>
    <xf numFmtId="0" fontId="5" fillId="0" borderId="19" xfId="0" applyFont="1" applyBorder="1"/>
    <xf numFmtId="0" fontId="2" fillId="0" borderId="9" xfId="0" applyFont="1" applyBorder="1" applyAlignment="1">
      <alignment wrapText="1"/>
    </xf>
    <xf numFmtId="204" fontId="2" fillId="0" borderId="24" xfId="0" applyNumberFormat="1" applyFont="1" applyBorder="1" applyAlignment="1">
      <alignment horizontal="center"/>
    </xf>
    <xf numFmtId="204" fontId="2" fillId="2" borderId="7" xfId="0" applyNumberFormat="1" applyFont="1" applyFill="1" applyBorder="1" applyAlignment="1">
      <alignment horizontal="center"/>
    </xf>
    <xf numFmtId="0" fontId="5" fillId="0" borderId="24" xfId="0" applyFont="1" applyBorder="1"/>
    <xf numFmtId="204" fontId="5" fillId="0" borderId="0" xfId="0" applyNumberFormat="1" applyFont="1" applyBorder="1" applyAlignment="1">
      <alignment horizontal="center"/>
    </xf>
    <xf numFmtId="204" fontId="5" fillId="0" borderId="6" xfId="0" applyNumberFormat="1" applyFont="1" applyFill="1" applyBorder="1" applyAlignment="1">
      <alignment horizontal="center"/>
    </xf>
    <xf numFmtId="204" fontId="5" fillId="0" borderId="24" xfId="0" applyNumberFormat="1" applyFont="1" applyBorder="1" applyAlignment="1">
      <alignment horizontal="center"/>
    </xf>
    <xf numFmtId="204" fontId="5" fillId="0" borderId="9" xfId="0" applyNumberFormat="1" applyFont="1" applyFill="1" applyBorder="1" applyAlignment="1">
      <alignment horizontal="center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5" fillId="0" borderId="19" xfId="0" applyFont="1" applyFill="1" applyBorder="1"/>
    <xf numFmtId="0" fontId="5" fillId="0" borderId="2" xfId="0" applyFont="1" applyFill="1" applyBorder="1"/>
    <xf numFmtId="0" fontId="2" fillId="0" borderId="3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2" fontId="4" fillId="2" borderId="1" xfId="0" applyNumberFormat="1" applyFont="1" applyFill="1" applyBorder="1" applyAlignment="1">
      <alignment horizontal="center"/>
    </xf>
    <xf numFmtId="2" fontId="4" fillId="0" borderId="3" xfId="0" applyNumberFormat="1" applyFont="1" applyBorder="1" applyAlignment="1">
      <alignment horizontal="center"/>
    </xf>
    <xf numFmtId="204" fontId="3" fillId="0" borderId="2" xfId="0" applyNumberFormat="1" applyFont="1" applyBorder="1" applyAlignment="1">
      <alignment horizontal="center"/>
    </xf>
    <xf numFmtId="204" fontId="5" fillId="0" borderId="15" xfId="0" applyNumberFormat="1" applyFont="1" applyFill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204" fontId="5" fillId="0" borderId="13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204" fontId="5" fillId="2" borderId="3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2" fillId="0" borderId="9" xfId="0" applyFont="1" applyBorder="1" applyAlignment="1">
      <alignment vertical="center" wrapText="1"/>
    </xf>
    <xf numFmtId="0" fontId="5" fillId="0" borderId="9" xfId="0" applyFont="1" applyBorder="1" applyAlignment="1">
      <alignment horizontal="center"/>
    </xf>
    <xf numFmtId="0" fontId="5" fillId="0" borderId="31" xfId="0" applyFont="1" applyFill="1" applyBorder="1" applyAlignment="1">
      <alignment horizontal="center"/>
    </xf>
    <xf numFmtId="0" fontId="5" fillId="0" borderId="32" xfId="0" applyFont="1" applyFill="1" applyBorder="1"/>
    <xf numFmtId="0" fontId="2" fillId="2" borderId="9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12" xfId="0" applyFont="1" applyFill="1" applyBorder="1"/>
    <xf numFmtId="0" fontId="5" fillId="2" borderId="12" xfId="0" applyFont="1" applyFill="1" applyBorder="1"/>
    <xf numFmtId="204" fontId="2" fillId="0" borderId="0" xfId="0" applyNumberFormat="1" applyFont="1" applyBorder="1" applyAlignment="1">
      <alignment horizontal="center"/>
    </xf>
    <xf numFmtId="204" fontId="5" fillId="2" borderId="12" xfId="0" applyNumberFormat="1" applyFont="1" applyFill="1" applyBorder="1" applyAlignment="1">
      <alignment horizontal="center"/>
    </xf>
    <xf numFmtId="204" fontId="3" fillId="2" borderId="14" xfId="0" applyNumberFormat="1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5" fillId="2" borderId="27" xfId="0" applyFont="1" applyFill="1" applyBorder="1" applyAlignment="1">
      <alignment horizontal="center"/>
    </xf>
    <xf numFmtId="204" fontId="3" fillId="2" borderId="15" xfId="0" applyNumberFormat="1" applyFont="1" applyFill="1" applyBorder="1" applyAlignment="1">
      <alignment horizontal="center"/>
    </xf>
    <xf numFmtId="0" fontId="5" fillId="2" borderId="29" xfId="0" applyFont="1" applyFill="1" applyBorder="1"/>
    <xf numFmtId="204" fontId="2" fillId="2" borderId="14" xfId="0" applyNumberFormat="1" applyFont="1" applyFill="1" applyBorder="1" applyAlignment="1">
      <alignment horizontal="center"/>
    </xf>
    <xf numFmtId="0" fontId="5" fillId="2" borderId="29" xfId="0" applyFont="1" applyFill="1" applyBorder="1" applyAlignment="1">
      <alignment horizontal="center"/>
    </xf>
    <xf numFmtId="204" fontId="2" fillId="2" borderId="18" xfId="0" applyNumberFormat="1" applyFont="1" applyFill="1" applyBorder="1" applyAlignment="1">
      <alignment horizontal="center"/>
    </xf>
    <xf numFmtId="0" fontId="5" fillId="2" borderId="15" xfId="0" applyFont="1" applyFill="1" applyBorder="1"/>
    <xf numFmtId="204" fontId="2" fillId="2" borderId="12" xfId="0" applyNumberFormat="1" applyFont="1" applyFill="1" applyBorder="1" applyAlignment="1">
      <alignment horizontal="center"/>
    </xf>
    <xf numFmtId="204" fontId="3" fillId="2" borderId="12" xfId="0" applyNumberFormat="1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204" fontId="5" fillId="2" borderId="15" xfId="0" applyNumberFormat="1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204" fontId="2" fillId="2" borderId="15" xfId="0" applyNumberFormat="1" applyFont="1" applyFill="1" applyBorder="1" applyAlignment="1">
      <alignment horizontal="center"/>
    </xf>
    <xf numFmtId="0" fontId="5" fillId="2" borderId="27" xfId="0" applyFont="1" applyFill="1" applyBorder="1"/>
    <xf numFmtId="204" fontId="2" fillId="2" borderId="22" xfId="0" applyNumberFormat="1" applyFont="1" applyFill="1" applyBorder="1" applyAlignment="1">
      <alignment horizontal="center"/>
    </xf>
    <xf numFmtId="204" fontId="2" fillId="2" borderId="21" xfId="0" applyNumberFormat="1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204" fontId="3" fillId="2" borderId="5" xfId="0" applyNumberFormat="1" applyFont="1" applyFill="1" applyBorder="1" applyAlignment="1">
      <alignment horizontal="center"/>
    </xf>
    <xf numFmtId="204" fontId="3" fillId="0" borderId="6" xfId="0" applyNumberFormat="1" applyFont="1" applyFill="1" applyBorder="1" applyAlignment="1">
      <alignment horizontal="center"/>
    </xf>
    <xf numFmtId="204" fontId="3" fillId="0" borderId="29" xfId="0" applyNumberFormat="1" applyFont="1" applyFill="1" applyBorder="1" applyAlignment="1">
      <alignment horizontal="center"/>
    </xf>
    <xf numFmtId="204" fontId="3" fillId="0" borderId="19" xfId="0" applyNumberFormat="1" applyFont="1" applyFill="1" applyBorder="1" applyAlignment="1">
      <alignment horizontal="center"/>
    </xf>
    <xf numFmtId="204" fontId="3" fillId="0" borderId="0" xfId="0" applyNumberFormat="1" applyFont="1" applyBorder="1" applyAlignment="1">
      <alignment horizontal="center"/>
    </xf>
    <xf numFmtId="0" fontId="3" fillId="2" borderId="29" xfId="0" applyFont="1" applyFill="1" applyBorder="1" applyAlignment="1">
      <alignment horizontal="center"/>
    </xf>
    <xf numFmtId="204" fontId="3" fillId="2" borderId="9" xfId="0" applyNumberFormat="1" applyFont="1" applyFill="1" applyBorder="1" applyAlignment="1">
      <alignment horizontal="center"/>
    </xf>
    <xf numFmtId="204" fontId="3" fillId="0" borderId="24" xfId="0" applyNumberFormat="1" applyFont="1" applyBorder="1" applyAlignment="1">
      <alignment horizontal="center"/>
    </xf>
    <xf numFmtId="0" fontId="2" fillId="2" borderId="22" xfId="0" applyFont="1" applyFill="1" applyBorder="1" applyAlignment="1">
      <alignment horizontal="center"/>
    </xf>
    <xf numFmtId="204" fontId="5" fillId="0" borderId="5" xfId="0" applyNumberFormat="1" applyFont="1" applyFill="1" applyBorder="1" applyAlignment="1">
      <alignment horizontal="center"/>
    </xf>
    <xf numFmtId="2" fontId="4" fillId="2" borderId="29" xfId="0" applyNumberFormat="1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204" fontId="2" fillId="0" borderId="23" xfId="0" applyNumberFormat="1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204" fontId="2" fillId="2" borderId="17" xfId="0" applyNumberFormat="1" applyFont="1" applyFill="1" applyBorder="1" applyAlignment="1">
      <alignment horizontal="center"/>
    </xf>
    <xf numFmtId="0" fontId="3" fillId="0" borderId="10" xfId="0" applyFont="1" applyBorder="1"/>
    <xf numFmtId="204" fontId="3" fillId="0" borderId="7" xfId="0" applyNumberFormat="1" applyFont="1" applyBorder="1" applyAlignment="1">
      <alignment horizontal="center"/>
    </xf>
    <xf numFmtId="204" fontId="3" fillId="0" borderId="10" xfId="0" applyNumberFormat="1" applyFont="1" applyBorder="1" applyAlignment="1">
      <alignment horizontal="center"/>
    </xf>
    <xf numFmtId="204" fontId="3" fillId="2" borderId="7" xfId="0" applyNumberFormat="1" applyFont="1" applyFill="1" applyBorder="1" applyAlignment="1">
      <alignment horizontal="center"/>
    </xf>
    <xf numFmtId="204" fontId="3" fillId="0" borderId="8" xfId="0" applyNumberFormat="1" applyFont="1" applyFill="1" applyBorder="1" applyAlignment="1">
      <alignment horizontal="center"/>
    </xf>
    <xf numFmtId="204" fontId="2" fillId="0" borderId="27" xfId="0" applyNumberFormat="1" applyFont="1" applyFill="1" applyBorder="1" applyAlignment="1">
      <alignment horizontal="center"/>
    </xf>
    <xf numFmtId="204" fontId="3" fillId="0" borderId="10" xfId="0" applyNumberFormat="1" applyFont="1" applyFill="1" applyBorder="1" applyAlignment="1">
      <alignment horizontal="center"/>
    </xf>
    <xf numFmtId="204" fontId="3" fillId="0" borderId="28" xfId="0" applyNumberFormat="1" applyFont="1" applyFill="1" applyBorder="1" applyAlignment="1">
      <alignment horizontal="center"/>
    </xf>
    <xf numFmtId="204" fontId="3" fillId="0" borderId="27" xfId="0" applyNumberFormat="1" applyFont="1" applyFill="1" applyBorder="1" applyAlignment="1">
      <alignment horizontal="center"/>
    </xf>
    <xf numFmtId="0" fontId="3" fillId="2" borderId="27" xfId="0" applyFont="1" applyFill="1" applyBorder="1" applyAlignment="1">
      <alignment horizontal="center"/>
    </xf>
    <xf numFmtId="0" fontId="3" fillId="0" borderId="19" xfId="0" applyFont="1" applyBorder="1"/>
    <xf numFmtId="204" fontId="3" fillId="0" borderId="19" xfId="0" applyNumberFormat="1" applyFont="1" applyBorder="1" applyAlignment="1">
      <alignment horizontal="center"/>
    </xf>
    <xf numFmtId="204" fontId="3" fillId="2" borderId="0" xfId="0" applyNumberFormat="1" applyFont="1" applyFill="1" applyBorder="1" applyAlignment="1">
      <alignment horizontal="center"/>
    </xf>
    <xf numFmtId="204" fontId="5" fillId="2" borderId="11" xfId="0" applyNumberFormat="1" applyFont="1" applyFill="1" applyBorder="1" applyAlignment="1">
      <alignment horizontal="center"/>
    </xf>
    <xf numFmtId="204" fontId="5" fillId="0" borderId="17" xfId="0" applyNumberFormat="1" applyFont="1" applyBorder="1" applyAlignment="1">
      <alignment horizontal="center"/>
    </xf>
    <xf numFmtId="0" fontId="5" fillId="2" borderId="21" xfId="0" applyFont="1" applyFill="1" applyBorder="1"/>
    <xf numFmtId="204" fontId="3" fillId="2" borderId="8" xfId="0" applyNumberFormat="1" applyFont="1" applyFill="1" applyBorder="1" applyAlignment="1">
      <alignment horizontal="center"/>
    </xf>
    <xf numFmtId="204" fontId="2" fillId="0" borderId="10" xfId="0" applyNumberFormat="1" applyFont="1" applyFill="1" applyBorder="1" applyAlignment="1">
      <alignment horizontal="center"/>
    </xf>
    <xf numFmtId="204" fontId="2" fillId="2" borderId="10" xfId="0" applyNumberFormat="1" applyFont="1" applyFill="1" applyBorder="1" applyAlignment="1">
      <alignment horizontal="center"/>
    </xf>
    <xf numFmtId="0" fontId="3" fillId="0" borderId="9" xfId="0" applyFont="1" applyBorder="1"/>
    <xf numFmtId="204" fontId="3" fillId="0" borderId="9" xfId="0" applyNumberFormat="1" applyFont="1" applyBorder="1" applyAlignment="1">
      <alignment horizontal="center"/>
    </xf>
    <xf numFmtId="204" fontId="3" fillId="2" borderId="24" xfId="0" applyNumberFormat="1" applyFont="1" applyFill="1" applyBorder="1" applyAlignment="1">
      <alignment horizontal="center"/>
    </xf>
    <xf numFmtId="204" fontId="3" fillId="0" borderId="9" xfId="0" applyNumberFormat="1" applyFont="1" applyFill="1" applyBorder="1" applyAlignment="1">
      <alignment horizontal="center"/>
    </xf>
    <xf numFmtId="204" fontId="3" fillId="0" borderId="24" xfId="0" applyNumberFormat="1" applyFont="1" applyFill="1" applyBorder="1" applyAlignment="1">
      <alignment horizontal="center"/>
    </xf>
    <xf numFmtId="204" fontId="3" fillId="0" borderId="22" xfId="0" applyNumberFormat="1" applyFont="1" applyFill="1" applyBorder="1" applyAlignment="1">
      <alignment horizontal="center"/>
    </xf>
    <xf numFmtId="204" fontId="3" fillId="2" borderId="22" xfId="0" applyNumberFormat="1" applyFont="1" applyFill="1" applyBorder="1" applyAlignment="1">
      <alignment horizontal="center"/>
    </xf>
    <xf numFmtId="0" fontId="3" fillId="0" borderId="4" xfId="0" applyFont="1" applyBorder="1"/>
    <xf numFmtId="204" fontId="3" fillId="0" borderId="17" xfId="0" applyNumberFormat="1" applyFont="1" applyBorder="1" applyAlignment="1">
      <alignment horizontal="center"/>
    </xf>
    <xf numFmtId="204" fontId="3" fillId="2" borderId="17" xfId="0" applyNumberFormat="1" applyFont="1" applyFill="1" applyBorder="1" applyAlignment="1">
      <alignment horizontal="center"/>
    </xf>
    <xf numFmtId="0" fontId="4" fillId="0" borderId="10" xfId="0" applyFont="1" applyBorder="1"/>
    <xf numFmtId="204" fontId="4" fillId="0" borderId="7" xfId="0" applyNumberFormat="1" applyFont="1" applyBorder="1" applyAlignment="1">
      <alignment horizontal="center"/>
    </xf>
    <xf numFmtId="204" fontId="4" fillId="0" borderId="10" xfId="0" applyNumberFormat="1" applyFont="1" applyBorder="1" applyAlignment="1">
      <alignment horizontal="center"/>
    </xf>
    <xf numFmtId="204" fontId="4" fillId="2" borderId="7" xfId="0" applyNumberFormat="1" applyFont="1" applyFill="1" applyBorder="1" applyAlignment="1">
      <alignment horizontal="center"/>
    </xf>
    <xf numFmtId="204" fontId="4" fillId="0" borderId="8" xfId="0" applyNumberFormat="1" applyFont="1" applyFill="1" applyBorder="1" applyAlignment="1">
      <alignment horizontal="center"/>
    </xf>
    <xf numFmtId="204" fontId="4" fillId="0" borderId="27" xfId="0" applyNumberFormat="1" applyFont="1" applyFill="1" applyBorder="1" applyAlignment="1">
      <alignment horizontal="center"/>
    </xf>
    <xf numFmtId="204" fontId="4" fillId="0" borderId="10" xfId="0" applyNumberFormat="1" applyFont="1" applyFill="1" applyBorder="1" applyAlignment="1">
      <alignment horizontal="center"/>
    </xf>
    <xf numFmtId="204" fontId="4" fillId="0" borderId="28" xfId="0" applyNumberFormat="1" applyFont="1" applyFill="1" applyBorder="1" applyAlignment="1">
      <alignment horizontal="center"/>
    </xf>
    <xf numFmtId="204" fontId="5" fillId="0" borderId="7" xfId="0" applyNumberFormat="1" applyFont="1" applyBorder="1" applyAlignment="1">
      <alignment horizontal="center"/>
    </xf>
    <xf numFmtId="0" fontId="4" fillId="2" borderId="27" xfId="0" applyFont="1" applyFill="1" applyBorder="1" applyAlignment="1">
      <alignment horizontal="center"/>
    </xf>
    <xf numFmtId="204" fontId="2" fillId="2" borderId="24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5" fillId="0" borderId="4" xfId="0" applyFont="1" applyBorder="1"/>
    <xf numFmtId="0" fontId="5" fillId="0" borderId="5" xfId="0" applyFont="1" applyBorder="1" applyAlignment="1">
      <alignment horizontal="center"/>
    </xf>
    <xf numFmtId="0" fontId="5" fillId="0" borderId="29" xfId="0" applyFont="1" applyFill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5" fillId="0" borderId="17" xfId="0" applyFont="1" applyBorder="1"/>
    <xf numFmtId="204" fontId="2" fillId="2" borderId="27" xfId="0" applyNumberFormat="1" applyFont="1" applyFill="1" applyBorder="1" applyAlignment="1">
      <alignment horizontal="center"/>
    </xf>
    <xf numFmtId="204" fontId="5" fillId="0" borderId="27" xfId="0" applyNumberFormat="1" applyFont="1" applyFill="1" applyBorder="1" applyAlignment="1">
      <alignment horizontal="center"/>
    </xf>
    <xf numFmtId="0" fontId="5" fillId="2" borderId="8" xfId="0" applyFont="1" applyFill="1" applyBorder="1"/>
    <xf numFmtId="0" fontId="5" fillId="0" borderId="28" xfId="0" applyFont="1" applyBorder="1"/>
    <xf numFmtId="204" fontId="5" fillId="2" borderId="7" xfId="0" applyNumberFormat="1" applyFont="1" applyFill="1" applyBorder="1" applyAlignment="1">
      <alignment horizontal="center"/>
    </xf>
    <xf numFmtId="204" fontId="5" fillId="0" borderId="18" xfId="0" applyNumberFormat="1" applyFont="1" applyFill="1" applyBorder="1" applyAlignment="1">
      <alignment horizontal="center"/>
    </xf>
    <xf numFmtId="204" fontId="5" fillId="0" borderId="28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right"/>
    </xf>
    <xf numFmtId="0" fontId="5" fillId="2" borderId="1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5" fillId="0" borderId="21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 wrapText="1"/>
    </xf>
    <xf numFmtId="0" fontId="0" fillId="0" borderId="18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2" fillId="0" borderId="0" xfId="0" applyFont="1" applyAlignment="1">
      <alignment horizontal="center"/>
    </xf>
    <xf numFmtId="0" fontId="0" fillId="0" borderId="0" xfId="0" applyAlignment="1"/>
    <xf numFmtId="0" fontId="5" fillId="0" borderId="1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5" fillId="2" borderId="11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9"/>
  <sheetViews>
    <sheetView tabSelected="1" topLeftCell="B128" zoomScaleNormal="100" workbookViewId="0">
      <selection activeCell="S138" sqref="S138"/>
    </sheetView>
  </sheetViews>
  <sheetFormatPr defaultRowHeight="15" x14ac:dyDescent="0.2"/>
  <cols>
    <col min="1" max="1" width="5.5703125" customWidth="1"/>
    <col min="2" max="2" width="40.140625" customWidth="1"/>
    <col min="3" max="3" width="8" hidden="1" customWidth="1"/>
    <col min="4" max="4" width="6.7109375" hidden="1" customWidth="1"/>
    <col min="5" max="5" width="14.140625" style="67" customWidth="1"/>
    <col min="6" max="6" width="5.7109375" style="6" hidden="1" customWidth="1"/>
    <col min="7" max="7" width="7.140625" style="6" hidden="1" customWidth="1"/>
    <col min="8" max="9" width="7.28515625" style="6" hidden="1" customWidth="1"/>
    <col min="10" max="10" width="6.85546875" style="6" hidden="1" customWidth="1"/>
    <col min="11" max="11" width="7.5703125" style="67" hidden="1" customWidth="1"/>
    <col min="12" max="12" width="6.42578125" hidden="1" customWidth="1"/>
    <col min="13" max="13" width="13.85546875" style="66" customWidth="1"/>
    <col min="14" max="14" width="12.7109375" customWidth="1"/>
  </cols>
  <sheetData>
    <row r="1" spans="1:17" hidden="1" x14ac:dyDescent="0.2">
      <c r="B1" s="50"/>
      <c r="F1" s="423"/>
      <c r="G1" s="423"/>
      <c r="H1" s="423"/>
      <c r="I1" s="423"/>
      <c r="J1" s="423"/>
    </row>
    <row r="2" spans="1:17" hidden="1" x14ac:dyDescent="0.2">
      <c r="B2" s="50"/>
      <c r="F2" s="423"/>
      <c r="G2" s="423"/>
      <c r="H2" s="423"/>
      <c r="I2" s="423"/>
      <c r="J2" s="423"/>
    </row>
    <row r="3" spans="1:17" hidden="1" x14ac:dyDescent="0.2">
      <c r="F3" s="423"/>
      <c r="G3" s="423"/>
      <c r="H3" s="423"/>
      <c r="I3" s="423"/>
      <c r="J3" s="423"/>
    </row>
    <row r="4" spans="1:17" hidden="1" x14ac:dyDescent="0.2">
      <c r="A4" s="1"/>
      <c r="B4" s="50"/>
      <c r="C4" s="1"/>
      <c r="D4" s="1"/>
      <c r="E4" s="68"/>
      <c r="F4"/>
      <c r="G4"/>
      <c r="H4" s="49"/>
      <c r="I4" s="49"/>
    </row>
    <row r="5" spans="1:17" ht="18" customHeight="1" x14ac:dyDescent="0.2">
      <c r="A5" s="83"/>
      <c r="B5" s="430" t="s">
        <v>201</v>
      </c>
      <c r="C5" s="430"/>
      <c r="D5" s="430"/>
      <c r="E5" s="430"/>
      <c r="F5" s="430"/>
      <c r="G5" s="430"/>
      <c r="H5" s="430"/>
      <c r="I5" s="430"/>
      <c r="J5" s="430"/>
      <c r="K5" s="430"/>
      <c r="L5" s="430"/>
      <c r="M5" s="430"/>
      <c r="N5" s="431"/>
    </row>
    <row r="6" spans="1:17" ht="13.5" thickBot="1" x14ac:dyDescent="0.25">
      <c r="A6" s="84"/>
      <c r="B6" s="84"/>
      <c r="C6" s="87"/>
      <c r="D6" s="84"/>
      <c r="E6" s="85"/>
      <c r="F6" s="88"/>
      <c r="G6" s="89"/>
      <c r="H6" s="89"/>
      <c r="I6" s="89"/>
      <c r="J6" s="89"/>
      <c r="K6" s="86"/>
      <c r="L6" s="83"/>
      <c r="M6" s="86"/>
      <c r="N6" s="418" t="s">
        <v>208</v>
      </c>
    </row>
    <row r="7" spans="1:17" ht="24.75" customHeight="1" thickBot="1" x14ac:dyDescent="0.25">
      <c r="A7" s="90"/>
      <c r="B7" s="432" t="s">
        <v>1</v>
      </c>
      <c r="C7" s="434" t="s">
        <v>160</v>
      </c>
      <c r="D7" s="435"/>
      <c r="E7" s="424" t="s">
        <v>206</v>
      </c>
      <c r="F7" s="425"/>
      <c r="G7" s="425"/>
      <c r="H7" s="425"/>
      <c r="I7" s="425"/>
      <c r="J7" s="426"/>
      <c r="K7" s="436" t="s">
        <v>198</v>
      </c>
      <c r="L7" s="438" t="s">
        <v>84</v>
      </c>
      <c r="M7" s="419" t="s">
        <v>202</v>
      </c>
      <c r="N7" s="421" t="s">
        <v>207</v>
      </c>
    </row>
    <row r="8" spans="1:17" ht="40.5" customHeight="1" thickBot="1" x14ac:dyDescent="0.25">
      <c r="A8" s="91"/>
      <c r="B8" s="433"/>
      <c r="C8" s="91" t="s">
        <v>2</v>
      </c>
      <c r="D8" s="92" t="s">
        <v>84</v>
      </c>
      <c r="E8" s="427"/>
      <c r="F8" s="428"/>
      <c r="G8" s="428"/>
      <c r="H8" s="428"/>
      <c r="I8" s="428"/>
      <c r="J8" s="429"/>
      <c r="K8" s="437"/>
      <c r="L8" s="439"/>
      <c r="M8" s="420"/>
      <c r="N8" s="422"/>
    </row>
    <row r="9" spans="1:17" ht="13.5" thickBot="1" x14ac:dyDescent="0.25">
      <c r="A9" s="93">
        <v>1</v>
      </c>
      <c r="B9" s="94">
        <v>2</v>
      </c>
      <c r="C9" s="95">
        <v>3</v>
      </c>
      <c r="D9" s="96">
        <v>4</v>
      </c>
      <c r="E9" s="97">
        <v>3</v>
      </c>
      <c r="F9" s="98">
        <v>6</v>
      </c>
      <c r="G9" s="99">
        <v>7</v>
      </c>
      <c r="H9" s="99">
        <v>8</v>
      </c>
      <c r="I9" s="100">
        <v>9</v>
      </c>
      <c r="J9" s="99">
        <v>10</v>
      </c>
      <c r="K9" s="101">
        <v>11</v>
      </c>
      <c r="L9" s="102">
        <v>12</v>
      </c>
      <c r="M9" s="101">
        <v>4</v>
      </c>
      <c r="N9" s="102">
        <v>5</v>
      </c>
    </row>
    <row r="10" spans="1:17" ht="13.5" thickBot="1" x14ac:dyDescent="0.25">
      <c r="A10" s="103">
        <v>1</v>
      </c>
      <c r="B10" s="104" t="s">
        <v>3</v>
      </c>
      <c r="C10" s="105"/>
      <c r="D10" s="106"/>
      <c r="E10" s="107"/>
      <c r="F10" s="108"/>
      <c r="G10" s="109"/>
      <c r="H10" s="110"/>
      <c r="I10" s="111"/>
      <c r="J10" s="110"/>
      <c r="K10" s="112"/>
      <c r="L10" s="113"/>
      <c r="M10" s="112"/>
      <c r="N10" s="114"/>
    </row>
    <row r="11" spans="1:17" ht="13.5" thickBot="1" x14ac:dyDescent="0.25">
      <c r="A11" s="115"/>
      <c r="B11" s="114" t="s">
        <v>4</v>
      </c>
      <c r="C11" s="116">
        <f>C12+C18+C36</f>
        <v>4347.0999999999995</v>
      </c>
      <c r="D11" s="117" t="s">
        <v>184</v>
      </c>
      <c r="E11" s="118">
        <f>E12+E18+E36</f>
        <v>4341.3999999999996</v>
      </c>
      <c r="F11" s="36" t="s">
        <v>187</v>
      </c>
      <c r="G11" s="119">
        <f>G12+G18+G36</f>
        <v>1091.5</v>
      </c>
      <c r="H11" s="36">
        <f>H12+H18+H36</f>
        <v>1070</v>
      </c>
      <c r="I11" s="120">
        <f>I12+I18+I36</f>
        <v>1109.2</v>
      </c>
      <c r="J11" s="53">
        <f>J12+J18+J36</f>
        <v>1070.7</v>
      </c>
      <c r="K11" s="77">
        <f t="shared" ref="K11:K16" si="0">G11+H11+I11</f>
        <v>3270.7</v>
      </c>
      <c r="L11" s="23" t="s">
        <v>187</v>
      </c>
      <c r="M11" s="118">
        <f>M12+M18+M36</f>
        <v>4339.7000000000007</v>
      </c>
      <c r="N11" s="29">
        <f t="shared" ref="N11:N18" si="1">M11-E11</f>
        <v>-1.6999999999989086</v>
      </c>
      <c r="Q11" s="30"/>
    </row>
    <row r="12" spans="1:17" ht="25.5" x14ac:dyDescent="0.2">
      <c r="A12" s="121" t="s">
        <v>5</v>
      </c>
      <c r="B12" s="122" t="s">
        <v>140</v>
      </c>
      <c r="C12" s="13">
        <f>C13+C14+C15+C16+C17</f>
        <v>2427.2999999999997</v>
      </c>
      <c r="D12" s="24">
        <f>(C12/226.9/12)*100</f>
        <v>89.147201410312903</v>
      </c>
      <c r="E12" s="69">
        <f>E13+E14+E15+E16+E17</f>
        <v>2374.6</v>
      </c>
      <c r="F12" s="31">
        <f>(E12/226.9/12)*100</f>
        <v>87.211693844571755</v>
      </c>
      <c r="G12" s="38">
        <f>G13+G14+G15+G16+G17</f>
        <v>593.70000000000005</v>
      </c>
      <c r="H12" s="12">
        <f>H13+H14+H15+H16+H17</f>
        <v>593.70000000000005</v>
      </c>
      <c r="I12" s="41">
        <f>I13+I14+I15+I16+I17</f>
        <v>593.6</v>
      </c>
      <c r="J12" s="38">
        <f>J13+J14+J15+J16+J17</f>
        <v>593.6</v>
      </c>
      <c r="K12" s="80">
        <f t="shared" si="0"/>
        <v>1781</v>
      </c>
      <c r="L12" s="62">
        <f>(K12/226.9/9)*100</f>
        <v>87.214142304490466</v>
      </c>
      <c r="M12" s="327">
        <f>M13+M14+M15+M16+M17</f>
        <v>2457.4</v>
      </c>
      <c r="N12" s="178">
        <f t="shared" si="1"/>
        <v>82.800000000000182</v>
      </c>
    </row>
    <row r="13" spans="1:17" ht="12.75" x14ac:dyDescent="0.2">
      <c r="A13" s="123"/>
      <c r="B13" s="124" t="s">
        <v>6</v>
      </c>
      <c r="C13" s="125">
        <v>1981.2</v>
      </c>
      <c r="D13" s="26">
        <f>(C13/226.9/12)*100</f>
        <v>72.763331864257381</v>
      </c>
      <c r="E13" s="81">
        <v>1733.5</v>
      </c>
      <c r="F13" s="126">
        <f>(E13/226.9/12)*100</f>
        <v>63.66607903628617</v>
      </c>
      <c r="G13" s="8">
        <v>433.4</v>
      </c>
      <c r="H13" s="7">
        <v>433.4</v>
      </c>
      <c r="I13" s="8">
        <v>433.4</v>
      </c>
      <c r="J13" s="32">
        <v>433.3</v>
      </c>
      <c r="K13" s="81">
        <f t="shared" si="0"/>
        <v>1300.1999999999998</v>
      </c>
      <c r="L13" s="127">
        <f>(K13/226.9/9)*100</f>
        <v>63.669751726164236</v>
      </c>
      <c r="M13" s="328">
        <v>1794.7</v>
      </c>
      <c r="N13" s="15">
        <f t="shared" si="1"/>
        <v>61.200000000000045</v>
      </c>
    </row>
    <row r="14" spans="1:17" ht="12.75" x14ac:dyDescent="0.2">
      <c r="A14" s="123"/>
      <c r="B14" s="124" t="s">
        <v>7</v>
      </c>
      <c r="C14" s="125">
        <v>182.7</v>
      </c>
      <c r="D14" s="26">
        <f>(C14/226.9/12)*100</f>
        <v>6.7100044072278529</v>
      </c>
      <c r="E14" s="81">
        <v>416.7</v>
      </c>
      <c r="F14" s="7">
        <f>(E14/226.9/12)*100</f>
        <v>15.304098721903921</v>
      </c>
      <c r="G14" s="129">
        <v>104.2</v>
      </c>
      <c r="H14" s="130">
        <v>104.2</v>
      </c>
      <c r="I14" s="129">
        <v>104.1</v>
      </c>
      <c r="J14" s="131">
        <v>104.2</v>
      </c>
      <c r="K14" s="132">
        <f t="shared" si="0"/>
        <v>312.5</v>
      </c>
      <c r="L14" s="127">
        <f t="shared" ref="L14:L19" si="2">(K14/226.9/9)*100</f>
        <v>15.302874491944568</v>
      </c>
      <c r="M14" s="328">
        <v>418.7</v>
      </c>
      <c r="N14" s="15">
        <f t="shared" si="1"/>
        <v>2</v>
      </c>
    </row>
    <row r="15" spans="1:17" ht="12.75" x14ac:dyDescent="0.2">
      <c r="A15" s="123"/>
      <c r="B15" s="124" t="s">
        <v>8</v>
      </c>
      <c r="C15" s="125">
        <v>121.2</v>
      </c>
      <c r="D15" s="26">
        <f>(C15/226.9/12)*100</f>
        <v>4.4513001322168355</v>
      </c>
      <c r="E15" s="81">
        <v>87.6</v>
      </c>
      <c r="F15" s="133">
        <f>(E15/226.9/12)*100</f>
        <v>3.217276333186426</v>
      </c>
      <c r="G15" s="129">
        <v>21.9</v>
      </c>
      <c r="H15" s="130">
        <v>21.9</v>
      </c>
      <c r="I15" s="129">
        <v>21.9</v>
      </c>
      <c r="J15" s="131">
        <v>21.9</v>
      </c>
      <c r="K15" s="81">
        <f t="shared" si="0"/>
        <v>65.699999999999989</v>
      </c>
      <c r="L15" s="127">
        <f t="shared" si="2"/>
        <v>3.2172763331864251</v>
      </c>
      <c r="M15" s="328">
        <v>84.4</v>
      </c>
      <c r="N15" s="15">
        <f t="shared" si="1"/>
        <v>-3.1999999999999886</v>
      </c>
    </row>
    <row r="16" spans="1:17" ht="25.5" x14ac:dyDescent="0.2">
      <c r="A16" s="123"/>
      <c r="B16" s="134" t="s">
        <v>139</v>
      </c>
      <c r="C16" s="125">
        <v>112.2</v>
      </c>
      <c r="D16" s="26">
        <f>(C16/226.9/12)*100</f>
        <v>4.1207580431908326</v>
      </c>
      <c r="E16" s="81">
        <v>136.80000000000001</v>
      </c>
      <c r="F16" s="133">
        <f>(E16/226.9/12)*100</f>
        <v>5.0242397531952401</v>
      </c>
      <c r="G16" s="129">
        <v>34.200000000000003</v>
      </c>
      <c r="H16" s="130">
        <v>34.200000000000003</v>
      </c>
      <c r="I16" s="129">
        <v>34.200000000000003</v>
      </c>
      <c r="J16" s="131">
        <v>34.200000000000003</v>
      </c>
      <c r="K16" s="81">
        <f t="shared" si="0"/>
        <v>102.60000000000001</v>
      </c>
      <c r="L16" s="127">
        <f t="shared" si="2"/>
        <v>5.0242397531952401</v>
      </c>
      <c r="M16" s="328">
        <v>159.6</v>
      </c>
      <c r="N16" s="15">
        <f t="shared" si="1"/>
        <v>22.799999999999983</v>
      </c>
    </row>
    <row r="17" spans="1:15" ht="13.5" thickBot="1" x14ac:dyDescent="0.25">
      <c r="A17" s="135"/>
      <c r="B17" s="136" t="s">
        <v>9</v>
      </c>
      <c r="C17" s="137">
        <v>30</v>
      </c>
      <c r="D17" s="138"/>
      <c r="E17" s="139"/>
      <c r="F17" s="140"/>
      <c r="G17" s="141"/>
      <c r="H17" s="142"/>
      <c r="I17" s="141"/>
      <c r="J17" s="143"/>
      <c r="K17" s="144"/>
      <c r="L17" s="64">
        <f t="shared" si="2"/>
        <v>0</v>
      </c>
      <c r="M17" s="329"/>
      <c r="N17" s="28">
        <f t="shared" si="1"/>
        <v>0</v>
      </c>
    </row>
    <row r="18" spans="1:15" ht="12.75" x14ac:dyDescent="0.2">
      <c r="A18" s="145" t="s">
        <v>10</v>
      </c>
      <c r="B18" s="20" t="s">
        <v>11</v>
      </c>
      <c r="C18" s="10">
        <f>C19+C20+C21</f>
        <v>1810.8999999999999</v>
      </c>
      <c r="D18" s="27">
        <f>(C18/226.9/12)*100</f>
        <v>66.508741001909783</v>
      </c>
      <c r="E18" s="70">
        <f>E19+E20+E21</f>
        <v>1848.1000000000001</v>
      </c>
      <c r="F18" s="146">
        <f>(E18/226.9/12)*100</f>
        <v>67.874981636550615</v>
      </c>
      <c r="G18" s="39">
        <f>G19+G20+G21</f>
        <v>468.20000000000005</v>
      </c>
      <c r="H18" s="12">
        <f>H19+H20+H21</f>
        <v>443.09999999999997</v>
      </c>
      <c r="I18" s="40">
        <f>I19+I20+I21</f>
        <v>489.4</v>
      </c>
      <c r="J18" s="51">
        <f>J19+J20+J21</f>
        <v>447.4</v>
      </c>
      <c r="K18" s="80">
        <f>G18+H18+I18</f>
        <v>1400.6999999999998</v>
      </c>
      <c r="L18" s="63">
        <f t="shared" si="2"/>
        <v>68.591156162773601</v>
      </c>
      <c r="M18" s="330">
        <f>M19+M20+M21</f>
        <v>1778.6999999999998</v>
      </c>
      <c r="N18" s="178">
        <f t="shared" si="1"/>
        <v>-69.400000000000318</v>
      </c>
    </row>
    <row r="19" spans="1:15" ht="12.75" x14ac:dyDescent="0.2">
      <c r="A19" s="123"/>
      <c r="B19" s="124" t="s">
        <v>12</v>
      </c>
      <c r="C19" s="125">
        <v>1636.6</v>
      </c>
      <c r="D19" s="26">
        <f>(C19/226.9/12)*100</f>
        <v>60.107242544439544</v>
      </c>
      <c r="E19" s="81">
        <v>1695.4</v>
      </c>
      <c r="F19" s="133">
        <f>(E19/226.9/12)*100</f>
        <v>62.266784192742762</v>
      </c>
      <c r="G19" s="129">
        <v>430.6</v>
      </c>
      <c r="H19" s="130">
        <v>404.4</v>
      </c>
      <c r="I19" s="129">
        <v>447.4</v>
      </c>
      <c r="J19" s="130">
        <v>413</v>
      </c>
      <c r="K19" s="81">
        <f>G19+H19+I19</f>
        <v>1282.4000000000001</v>
      </c>
      <c r="L19" s="127">
        <f t="shared" si="2"/>
        <v>62.798099995103087</v>
      </c>
      <c r="M19" s="328">
        <v>1623.8</v>
      </c>
      <c r="N19" s="15"/>
    </row>
    <row r="20" spans="1:15" ht="12.75" x14ac:dyDescent="0.2">
      <c r="A20" s="123"/>
      <c r="B20" s="124" t="s">
        <v>13</v>
      </c>
      <c r="C20" s="125"/>
      <c r="D20" s="148"/>
      <c r="E20" s="81"/>
      <c r="F20" s="133"/>
      <c r="G20" s="11"/>
      <c r="H20" s="9"/>
      <c r="I20" s="11"/>
      <c r="J20" s="149"/>
      <c r="K20" s="132"/>
      <c r="L20" s="150"/>
      <c r="M20" s="324"/>
      <c r="N20" s="15"/>
    </row>
    <row r="21" spans="1:15" ht="25.5" x14ac:dyDescent="0.2">
      <c r="A21" s="123"/>
      <c r="B21" s="153" t="s">
        <v>141</v>
      </c>
      <c r="C21" s="9">
        <f>C22+C23+C24+C25+C26+C27+C28+C30+C31+C32+C33+C35+C29</f>
        <v>174.3</v>
      </c>
      <c r="D21" s="26">
        <f>(C21/226.9/12)*100</f>
        <v>6.401498457470252</v>
      </c>
      <c r="E21" s="81">
        <f>E22+E23+E24+E25+E26+E27+E28+E30+E31+E32+E33+E35+E34</f>
        <v>152.69999999999999</v>
      </c>
      <c r="F21" s="133">
        <f>(E21/226.9/12)*100</f>
        <v>5.6081974438078444</v>
      </c>
      <c r="G21" s="32">
        <f>G22+G23+G24+G25+G26+G27+G28+G30+G31+G32+G33+G35+G34</f>
        <v>37.599999999999994</v>
      </c>
      <c r="H21" s="7">
        <f>H22+H23+H24+H25+H26+H27+H28+H30+H31+H32+H33+H35+H34</f>
        <v>38.700000000000003</v>
      </c>
      <c r="I21" s="8">
        <f>I22+I23+I24+I25+I26+I27+I28+I30+I31+I32+I33+I35+I34</f>
        <v>41.999999999999986</v>
      </c>
      <c r="J21" s="32">
        <f>J22+J23+J24+J25+J26+J27+J28+J30+J31+J32+J33+J35+J34</f>
        <v>34.400000000000006</v>
      </c>
      <c r="K21" s="81">
        <f t="shared" ref="K21:K26" si="3">G21+H21+I21</f>
        <v>118.29999999999998</v>
      </c>
      <c r="L21" s="127">
        <f>(K21/226.9/9)*100</f>
        <v>5.7930561676705343</v>
      </c>
      <c r="M21" s="326">
        <f>M22+M23+M24+M25+M26+M27+M28+M30+M31+M32+M33+M35+M34+M29</f>
        <v>154.89999999999998</v>
      </c>
      <c r="N21" s="15"/>
    </row>
    <row r="22" spans="1:15" ht="12.75" x14ac:dyDescent="0.2">
      <c r="A22" s="123"/>
      <c r="B22" s="154" t="s">
        <v>165</v>
      </c>
      <c r="C22" s="155">
        <v>52.4</v>
      </c>
      <c r="D22" s="26"/>
      <c r="E22" s="162">
        <v>45.8</v>
      </c>
      <c r="F22" s="7"/>
      <c r="G22" s="156">
        <v>25</v>
      </c>
      <c r="H22" s="157"/>
      <c r="I22" s="158"/>
      <c r="J22" s="159">
        <v>20.8</v>
      </c>
      <c r="K22" s="160">
        <f t="shared" si="3"/>
        <v>25</v>
      </c>
      <c r="L22" s="61"/>
      <c r="M22" s="322">
        <v>45.8</v>
      </c>
      <c r="N22" s="15"/>
      <c r="O22" s="30"/>
    </row>
    <row r="23" spans="1:15" ht="12.75" x14ac:dyDescent="0.2">
      <c r="A23" s="123"/>
      <c r="B23" s="154" t="s">
        <v>166</v>
      </c>
      <c r="C23" s="155">
        <v>13</v>
      </c>
      <c r="D23" s="26"/>
      <c r="E23" s="162">
        <v>13.6</v>
      </c>
      <c r="F23" s="7"/>
      <c r="G23" s="158"/>
      <c r="H23" s="157">
        <v>5.4</v>
      </c>
      <c r="I23" s="158">
        <v>8.1999999999999993</v>
      </c>
      <c r="J23" s="161"/>
      <c r="K23" s="162">
        <f t="shared" si="3"/>
        <v>13.6</v>
      </c>
      <c r="L23" s="61"/>
      <c r="M23" s="322">
        <v>13.6</v>
      </c>
      <c r="N23" s="15"/>
    </row>
    <row r="24" spans="1:15" ht="12.75" x14ac:dyDescent="0.2">
      <c r="A24" s="123"/>
      <c r="B24" s="154" t="s">
        <v>167</v>
      </c>
      <c r="C24" s="155">
        <v>27.5</v>
      </c>
      <c r="D24" s="26"/>
      <c r="E24" s="162">
        <v>21.8</v>
      </c>
      <c r="F24" s="7"/>
      <c r="G24" s="158">
        <v>0.5</v>
      </c>
      <c r="H24" s="157">
        <v>8.6999999999999993</v>
      </c>
      <c r="I24" s="158">
        <v>9</v>
      </c>
      <c r="J24" s="161">
        <v>3.6</v>
      </c>
      <c r="K24" s="160">
        <f t="shared" si="3"/>
        <v>18.2</v>
      </c>
      <c r="L24" s="61"/>
      <c r="M24" s="322">
        <v>20.7</v>
      </c>
      <c r="N24" s="15"/>
    </row>
    <row r="25" spans="1:15" ht="12.75" x14ac:dyDescent="0.2">
      <c r="A25" s="123"/>
      <c r="B25" s="154" t="s">
        <v>168</v>
      </c>
      <c r="C25" s="155">
        <v>40</v>
      </c>
      <c r="D25" s="26"/>
      <c r="E25" s="162">
        <v>50.3</v>
      </c>
      <c r="F25" s="7"/>
      <c r="G25" s="158">
        <v>8.3000000000000007</v>
      </c>
      <c r="H25" s="157">
        <v>17.8</v>
      </c>
      <c r="I25" s="158">
        <v>18.399999999999999</v>
      </c>
      <c r="J25" s="161">
        <v>5.8</v>
      </c>
      <c r="K25" s="162">
        <f t="shared" si="3"/>
        <v>44.5</v>
      </c>
      <c r="L25" s="61"/>
      <c r="M25" s="322">
        <v>50.3</v>
      </c>
      <c r="N25" s="15"/>
    </row>
    <row r="26" spans="1:15" ht="12.75" x14ac:dyDescent="0.2">
      <c r="A26" s="123"/>
      <c r="B26" s="154" t="s">
        <v>169</v>
      </c>
      <c r="C26" s="155">
        <v>0.9</v>
      </c>
      <c r="D26" s="26"/>
      <c r="E26" s="162">
        <v>1</v>
      </c>
      <c r="F26" s="7"/>
      <c r="G26" s="158">
        <v>0.3</v>
      </c>
      <c r="H26" s="157">
        <v>0.2</v>
      </c>
      <c r="I26" s="158">
        <v>0.3</v>
      </c>
      <c r="J26" s="161">
        <v>0.2</v>
      </c>
      <c r="K26" s="160">
        <f t="shared" si="3"/>
        <v>0.8</v>
      </c>
      <c r="L26" s="61"/>
      <c r="M26" s="322">
        <v>0.9</v>
      </c>
      <c r="N26" s="15"/>
    </row>
    <row r="27" spans="1:15" ht="12.75" x14ac:dyDescent="0.2">
      <c r="A27" s="123"/>
      <c r="B27" s="154" t="s">
        <v>170</v>
      </c>
      <c r="C27" s="155">
        <v>17.5</v>
      </c>
      <c r="D27" s="26"/>
      <c r="E27" s="162"/>
      <c r="F27" s="7"/>
      <c r="G27" s="158"/>
      <c r="H27" s="157"/>
      <c r="I27" s="158"/>
      <c r="J27" s="161"/>
      <c r="K27" s="162"/>
      <c r="L27" s="61"/>
      <c r="M27" s="323"/>
      <c r="N27" s="15"/>
    </row>
    <row r="28" spans="1:15" ht="12.75" x14ac:dyDescent="0.2">
      <c r="A28" s="123"/>
      <c r="B28" s="154" t="s">
        <v>171</v>
      </c>
      <c r="C28" s="155">
        <v>17.8</v>
      </c>
      <c r="D28" s="26"/>
      <c r="E28" s="162">
        <v>19</v>
      </c>
      <c r="F28" s="7"/>
      <c r="G28" s="158">
        <v>3.2</v>
      </c>
      <c r="H28" s="163">
        <v>6</v>
      </c>
      <c r="I28" s="158">
        <v>5.8</v>
      </c>
      <c r="J28" s="159">
        <v>4</v>
      </c>
      <c r="K28" s="160">
        <f>G28+H28+I28</f>
        <v>15</v>
      </c>
      <c r="L28" s="61"/>
      <c r="M28" s="322">
        <v>19</v>
      </c>
      <c r="N28" s="15"/>
    </row>
    <row r="29" spans="1:15" ht="12.75" x14ac:dyDescent="0.2">
      <c r="A29" s="123"/>
      <c r="B29" s="154" t="s">
        <v>183</v>
      </c>
      <c r="C29" s="155">
        <v>4</v>
      </c>
      <c r="D29" s="26"/>
      <c r="E29" s="162"/>
      <c r="F29" s="7"/>
      <c r="G29" s="158"/>
      <c r="H29" s="157"/>
      <c r="I29" s="158"/>
      <c r="J29" s="161"/>
      <c r="K29" s="162"/>
      <c r="L29" s="61"/>
      <c r="M29" s="322">
        <v>3.6</v>
      </c>
      <c r="N29" s="15"/>
    </row>
    <row r="30" spans="1:15" ht="12.75" x14ac:dyDescent="0.2">
      <c r="A30" s="123"/>
      <c r="B30" s="154" t="s">
        <v>172</v>
      </c>
      <c r="C30" s="155"/>
      <c r="D30" s="164"/>
      <c r="E30" s="162"/>
      <c r="F30" s="7"/>
      <c r="G30" s="158"/>
      <c r="H30" s="157"/>
      <c r="I30" s="158"/>
      <c r="J30" s="161"/>
      <c r="K30" s="160"/>
      <c r="L30" s="61"/>
      <c r="M30" s="323"/>
      <c r="N30" s="15"/>
    </row>
    <row r="31" spans="1:15" ht="12.75" x14ac:dyDescent="0.2">
      <c r="A31" s="123"/>
      <c r="B31" s="154" t="s">
        <v>173</v>
      </c>
      <c r="C31" s="155"/>
      <c r="D31" s="164"/>
      <c r="E31" s="162"/>
      <c r="F31" s="7"/>
      <c r="G31" s="158"/>
      <c r="H31" s="157"/>
      <c r="I31" s="158"/>
      <c r="J31" s="161"/>
      <c r="K31" s="165"/>
      <c r="L31" s="61"/>
      <c r="M31" s="323"/>
      <c r="N31" s="15"/>
    </row>
    <row r="32" spans="1:15" ht="12.75" x14ac:dyDescent="0.2">
      <c r="A32" s="123"/>
      <c r="B32" s="154" t="s">
        <v>174</v>
      </c>
      <c r="C32" s="155">
        <v>1.2</v>
      </c>
      <c r="D32" s="26"/>
      <c r="E32" s="162">
        <v>1.2</v>
      </c>
      <c r="F32" s="7"/>
      <c r="G32" s="158">
        <v>0.3</v>
      </c>
      <c r="H32" s="157">
        <v>0.6</v>
      </c>
      <c r="I32" s="158">
        <v>0.3</v>
      </c>
      <c r="J32" s="161"/>
      <c r="K32" s="162">
        <f>G32+H32+I32</f>
        <v>1.2</v>
      </c>
      <c r="L32" s="61"/>
      <c r="M32" s="323">
        <v>1</v>
      </c>
      <c r="N32" s="15"/>
    </row>
    <row r="33" spans="1:17" ht="12.75" x14ac:dyDescent="0.2">
      <c r="A33" s="123"/>
      <c r="B33" s="154" t="s">
        <v>175</v>
      </c>
      <c r="C33" s="11"/>
      <c r="D33" s="148"/>
      <c r="E33" s="71"/>
      <c r="F33" s="7"/>
      <c r="G33" s="158"/>
      <c r="H33" s="157"/>
      <c r="I33" s="158"/>
      <c r="J33" s="161"/>
      <c r="K33" s="166"/>
      <c r="L33" s="152"/>
      <c r="M33" s="324"/>
      <c r="N33" s="15"/>
    </row>
    <row r="34" spans="1:17" ht="12.75" x14ac:dyDescent="0.2">
      <c r="A34" s="167"/>
      <c r="B34" s="168" t="s">
        <v>185</v>
      </c>
      <c r="C34" s="14"/>
      <c r="D34" s="169"/>
      <c r="E34" s="72"/>
      <c r="F34" s="126"/>
      <c r="G34" s="170"/>
      <c r="H34" s="171"/>
      <c r="I34" s="170"/>
      <c r="J34" s="172"/>
      <c r="K34" s="173"/>
      <c r="L34" s="152"/>
      <c r="M34" s="324"/>
      <c r="N34" s="15"/>
    </row>
    <row r="35" spans="1:17" ht="13.5" thickBot="1" x14ac:dyDescent="0.25">
      <c r="A35" s="167"/>
      <c r="B35" s="168" t="s">
        <v>176</v>
      </c>
      <c r="C35" s="14"/>
      <c r="D35" s="169"/>
      <c r="E35" s="73"/>
      <c r="F35" s="140"/>
      <c r="G35" s="170"/>
      <c r="H35" s="174"/>
      <c r="I35" s="170"/>
      <c r="J35" s="175"/>
      <c r="K35" s="176"/>
      <c r="L35" s="136"/>
      <c r="M35" s="331"/>
      <c r="N35" s="28"/>
    </row>
    <row r="36" spans="1:17" s="79" customFormat="1" ht="15.75" customHeight="1" x14ac:dyDescent="0.2">
      <c r="A36" s="121" t="s">
        <v>14</v>
      </c>
      <c r="B36" s="17" t="s">
        <v>124</v>
      </c>
      <c r="C36" s="178">
        <f>C38+C39</f>
        <v>108.9</v>
      </c>
      <c r="D36" s="178">
        <f>(C36/226.9/12)*100</f>
        <v>3.9995592772146322</v>
      </c>
      <c r="E36" s="179">
        <f>E38+E39</f>
        <v>118.7</v>
      </c>
      <c r="F36" s="34">
        <f>(E36/226.9/12)*100</f>
        <v>4.3594828852651677</v>
      </c>
      <c r="G36" s="180">
        <f>G38+G39</f>
        <v>29.6</v>
      </c>
      <c r="H36" s="56">
        <f>H38+H39</f>
        <v>33.200000000000003</v>
      </c>
      <c r="I36" s="57">
        <f>I38+I39</f>
        <v>26.200000000000003</v>
      </c>
      <c r="J36" s="180">
        <f>J38+J39</f>
        <v>29.700000000000003</v>
      </c>
      <c r="K36" s="181">
        <f>G36+H36+I36</f>
        <v>89</v>
      </c>
      <c r="L36" s="178">
        <f t="shared" ref="L36:L45" si="4">(K36/226.9/9)*100</f>
        <v>4.3582586553058125</v>
      </c>
      <c r="M36" s="332">
        <f>M38+M39</f>
        <v>103.6</v>
      </c>
      <c r="N36" s="178">
        <f>M36-E36</f>
        <v>-15.100000000000009</v>
      </c>
    </row>
    <row r="37" spans="1:17" ht="12.75" hidden="1" x14ac:dyDescent="0.2">
      <c r="A37" s="123"/>
      <c r="B37" s="2" t="s">
        <v>123</v>
      </c>
      <c r="C37" s="125"/>
      <c r="D37" s="26">
        <f>(C37/226.9/12)*100</f>
        <v>0</v>
      </c>
      <c r="E37" s="81"/>
      <c r="F37" s="133">
        <f>(E37/226.9/12)*100</f>
        <v>0</v>
      </c>
      <c r="G37" s="11"/>
      <c r="H37" s="9"/>
      <c r="I37" s="11"/>
      <c r="J37" s="149"/>
      <c r="K37" s="132">
        <f>G37+H37</f>
        <v>0</v>
      </c>
      <c r="L37" s="182">
        <f t="shared" si="4"/>
        <v>0</v>
      </c>
      <c r="M37" s="324"/>
      <c r="N37" s="15">
        <f>M37-E37</f>
        <v>0</v>
      </c>
    </row>
    <row r="38" spans="1:17" ht="12.75" x14ac:dyDescent="0.2">
      <c r="A38" s="123"/>
      <c r="B38" s="183" t="s">
        <v>177</v>
      </c>
      <c r="C38" s="125">
        <v>73.8</v>
      </c>
      <c r="D38" s="26">
        <f>(C38/226.9/12)*100</f>
        <v>2.7104451300132215</v>
      </c>
      <c r="E38" s="81">
        <v>80.2</v>
      </c>
      <c r="F38" s="133">
        <f>(E38/226.9/12)*100</f>
        <v>2.94549728220949</v>
      </c>
      <c r="G38" s="129">
        <v>20</v>
      </c>
      <c r="H38" s="130">
        <f>20+3.5</f>
        <v>23.5</v>
      </c>
      <c r="I38" s="129">
        <f>20.1-3.5</f>
        <v>16.600000000000001</v>
      </c>
      <c r="J38" s="131">
        <v>20.100000000000001</v>
      </c>
      <c r="K38" s="81">
        <f t="shared" ref="K38:K45" si="5">G38+H38+I38</f>
        <v>60.1</v>
      </c>
      <c r="L38" s="182">
        <f t="shared" si="4"/>
        <v>2.9430488222907796</v>
      </c>
      <c r="M38" s="328">
        <v>64.5</v>
      </c>
      <c r="N38" s="15"/>
    </row>
    <row r="39" spans="1:17" ht="13.5" thickBot="1" x14ac:dyDescent="0.25">
      <c r="A39" s="135"/>
      <c r="B39" s="184" t="s">
        <v>178</v>
      </c>
      <c r="C39" s="137">
        <v>35.1</v>
      </c>
      <c r="D39" s="64">
        <f>(C39/226.9/12)*100</f>
        <v>1.2891141472014103</v>
      </c>
      <c r="E39" s="139">
        <v>38.5</v>
      </c>
      <c r="F39" s="140">
        <f>(E39/226.9/12)*100</f>
        <v>1.4139856030556779</v>
      </c>
      <c r="G39" s="185">
        <v>9.6</v>
      </c>
      <c r="H39" s="186">
        <v>9.6999999999999993</v>
      </c>
      <c r="I39" s="185">
        <v>9.6</v>
      </c>
      <c r="J39" s="187">
        <v>9.6</v>
      </c>
      <c r="K39" s="144">
        <f t="shared" si="5"/>
        <v>28.9</v>
      </c>
      <c r="L39" s="188">
        <f t="shared" si="4"/>
        <v>1.4152098330150333</v>
      </c>
      <c r="M39" s="333">
        <v>39.1</v>
      </c>
      <c r="N39" s="28"/>
    </row>
    <row r="40" spans="1:17" ht="12.75" x14ac:dyDescent="0.2">
      <c r="A40" s="189">
        <v>2</v>
      </c>
      <c r="B40" s="55" t="s">
        <v>163</v>
      </c>
      <c r="C40" s="29">
        <v>154.80000000000001</v>
      </c>
      <c r="D40" s="29"/>
      <c r="E40" s="74">
        <v>157.5</v>
      </c>
      <c r="F40" s="190"/>
      <c r="G40" s="42">
        <v>44.3</v>
      </c>
      <c r="H40" s="44">
        <v>97.2</v>
      </c>
      <c r="I40" s="42">
        <v>16</v>
      </c>
      <c r="J40" s="191"/>
      <c r="K40" s="76">
        <f t="shared" si="5"/>
        <v>157.5</v>
      </c>
      <c r="L40" s="62">
        <f t="shared" si="4"/>
        <v>7.7126487439400604</v>
      </c>
      <c r="M40" s="347">
        <v>153.30000000000001</v>
      </c>
      <c r="N40" s="178">
        <f>M40-E40</f>
        <v>-4.1999999999999886</v>
      </c>
    </row>
    <row r="41" spans="1:17" ht="12.75" x14ac:dyDescent="0.2">
      <c r="A41" s="167"/>
      <c r="B41" s="193" t="s">
        <v>189</v>
      </c>
      <c r="C41" s="47"/>
      <c r="D41" s="47"/>
      <c r="E41" s="162">
        <v>83.3</v>
      </c>
      <c r="F41" s="194"/>
      <c r="G41" s="170"/>
      <c r="H41" s="171">
        <v>79.8</v>
      </c>
      <c r="I41" s="170">
        <v>3.5</v>
      </c>
      <c r="J41" s="195"/>
      <c r="K41" s="162">
        <f t="shared" si="5"/>
        <v>83.3</v>
      </c>
      <c r="L41" s="127">
        <f t="shared" si="4"/>
        <v>4.0791342245727433</v>
      </c>
      <c r="M41" s="328">
        <v>83.5</v>
      </c>
      <c r="N41" s="15"/>
    </row>
    <row r="42" spans="1:17" ht="12.75" x14ac:dyDescent="0.2">
      <c r="A42" s="123"/>
      <c r="B42" s="193" t="s">
        <v>190</v>
      </c>
      <c r="C42" s="15"/>
      <c r="D42" s="15"/>
      <c r="E42" s="162">
        <v>1.4</v>
      </c>
      <c r="F42" s="196"/>
      <c r="G42" s="158"/>
      <c r="H42" s="157">
        <v>1.4</v>
      </c>
      <c r="I42" s="155"/>
      <c r="J42" s="197"/>
      <c r="K42" s="160">
        <f t="shared" si="5"/>
        <v>1.4</v>
      </c>
      <c r="L42" s="127">
        <f t="shared" si="4"/>
        <v>6.8556877723911655E-2</v>
      </c>
      <c r="M42" s="328"/>
      <c r="N42" s="15"/>
    </row>
    <row r="43" spans="1:17" ht="12.75" x14ac:dyDescent="0.2">
      <c r="A43" s="189"/>
      <c r="B43" s="193" t="s">
        <v>191</v>
      </c>
      <c r="C43" s="46"/>
      <c r="D43" s="46"/>
      <c r="E43" s="162">
        <v>13.3</v>
      </c>
      <c r="F43" s="190"/>
      <c r="G43" s="198">
        <v>13.3</v>
      </c>
      <c r="H43" s="199"/>
      <c r="I43" s="200"/>
      <c r="J43" s="201"/>
      <c r="K43" s="162">
        <f t="shared" si="5"/>
        <v>13.3</v>
      </c>
      <c r="L43" s="127">
        <f t="shared" si="4"/>
        <v>0.65129033837716077</v>
      </c>
      <c r="M43" s="328">
        <v>13.3</v>
      </c>
      <c r="N43" s="15"/>
    </row>
    <row r="44" spans="1:17" ht="12.75" x14ac:dyDescent="0.2">
      <c r="A44" s="123"/>
      <c r="B44" s="193" t="s">
        <v>192</v>
      </c>
      <c r="C44" s="15"/>
      <c r="D44" s="15"/>
      <c r="E44" s="162">
        <v>56.6</v>
      </c>
      <c r="F44" s="196"/>
      <c r="G44" s="156">
        <v>31</v>
      </c>
      <c r="H44" s="157">
        <v>13.1</v>
      </c>
      <c r="I44" s="158">
        <v>12.5</v>
      </c>
      <c r="J44" s="197"/>
      <c r="K44" s="162">
        <f t="shared" si="5"/>
        <v>56.6</v>
      </c>
      <c r="L44" s="127">
        <f t="shared" si="4"/>
        <v>2.7716566279809998</v>
      </c>
      <c r="M44" s="328">
        <v>56.5</v>
      </c>
      <c r="N44" s="15"/>
    </row>
    <row r="45" spans="1:17" ht="13.5" thickBot="1" x14ac:dyDescent="0.25">
      <c r="A45" s="189"/>
      <c r="B45" s="202" t="s">
        <v>193</v>
      </c>
      <c r="C45" s="19"/>
      <c r="D45" s="46"/>
      <c r="E45" s="203">
        <v>2.9</v>
      </c>
      <c r="F45" s="190"/>
      <c r="G45" s="198"/>
      <c r="H45" s="199">
        <v>2.9</v>
      </c>
      <c r="I45" s="200"/>
      <c r="J45" s="201"/>
      <c r="K45" s="204">
        <f t="shared" si="5"/>
        <v>2.9</v>
      </c>
      <c r="L45" s="127">
        <f t="shared" si="4"/>
        <v>0.14201067528524558</v>
      </c>
      <c r="M45" s="329"/>
      <c r="N45" s="28"/>
    </row>
    <row r="46" spans="1:17" ht="12.75" x14ac:dyDescent="0.2">
      <c r="A46" s="121">
        <v>3</v>
      </c>
      <c r="B46" s="17" t="s">
        <v>16</v>
      </c>
      <c r="C46" s="207"/>
      <c r="D46" s="208"/>
      <c r="E46" s="179"/>
      <c r="F46" s="209"/>
      <c r="G46" s="210"/>
      <c r="H46" s="211"/>
      <c r="I46" s="210"/>
      <c r="J46" s="212"/>
      <c r="K46" s="213"/>
      <c r="L46" s="208"/>
      <c r="M46" s="335"/>
      <c r="N46" s="178">
        <f>M46-E46</f>
        <v>0</v>
      </c>
    </row>
    <row r="47" spans="1:17" ht="13.5" thickBot="1" x14ac:dyDescent="0.25">
      <c r="A47" s="214"/>
      <c r="B47" s="215" t="s">
        <v>85</v>
      </c>
      <c r="C47" s="18">
        <f>C99+C100+C101+C108</f>
        <v>4456.4900000000007</v>
      </c>
      <c r="D47" s="28">
        <f>(C47/226.9/12)*100</f>
        <v>163.67305714705452</v>
      </c>
      <c r="E47" s="75">
        <f>E99+E100+E101+E108</f>
        <v>4478.8816800000004</v>
      </c>
      <c r="F47" s="34" t="s">
        <v>194</v>
      </c>
      <c r="G47" s="43">
        <f>G99+G100+G101+G108</f>
        <v>1132.7249999999999</v>
      </c>
      <c r="H47" s="33">
        <f>H99+H100+H101+H108</f>
        <v>1162.2750000000001</v>
      </c>
      <c r="I47" s="45">
        <f>I99+I100+I101+I108</f>
        <v>1118.4749999999999</v>
      </c>
      <c r="J47" s="43">
        <f>J99+J100+J101+341:341</f>
        <v>976.30167000000006</v>
      </c>
      <c r="K47" s="75">
        <f>G47+H47+I47</f>
        <v>3413.4749999999999</v>
      </c>
      <c r="L47" s="19">
        <f>(K47/226.9/9)*100</f>
        <v>167.15513442044954</v>
      </c>
      <c r="M47" s="334">
        <f>M99+M100+M101+M108</f>
        <v>4241</v>
      </c>
      <c r="N47" s="28">
        <f>M47-E47</f>
        <v>-237.88168000000042</v>
      </c>
      <c r="Q47" s="30"/>
    </row>
    <row r="48" spans="1:17" ht="12.75" x14ac:dyDescent="0.2">
      <c r="A48" s="145"/>
      <c r="B48" s="216" t="s">
        <v>17</v>
      </c>
      <c r="C48" s="62"/>
      <c r="D48" s="217"/>
      <c r="E48" s="181"/>
      <c r="F48" s="56"/>
      <c r="G48" s="212"/>
      <c r="H48" s="211"/>
      <c r="I48" s="210"/>
      <c r="J48" s="212"/>
      <c r="K48" s="218"/>
      <c r="L48" s="192"/>
      <c r="M48" s="335"/>
      <c r="N48" s="178">
        <f>M48-E48</f>
        <v>0</v>
      </c>
    </row>
    <row r="49" spans="1:15" ht="12.75" customHeight="1" x14ac:dyDescent="0.2">
      <c r="A49" s="145" t="s">
        <v>18</v>
      </c>
      <c r="B49" s="20" t="s">
        <v>19</v>
      </c>
      <c r="C49" s="15">
        <f>C50+C55</f>
        <v>126.43004836759371</v>
      </c>
      <c r="D49" s="15">
        <f>(C49/226.9/12)*100</f>
        <v>4.6433835892314423</v>
      </c>
      <c r="E49" s="220">
        <f>E50+E55</f>
        <v>209.89999999999998</v>
      </c>
      <c r="F49" s="34">
        <f t="shared" ref="F49:F63" si="6">(E49/226.9/12)*100</f>
        <v>7.7089760540619929</v>
      </c>
      <c r="G49" s="221">
        <f>G50+G55</f>
        <v>52.325000000000003</v>
      </c>
      <c r="H49" s="196">
        <f>H50+H55</f>
        <v>52.399999999999991</v>
      </c>
      <c r="I49" s="222">
        <f>I50+I55</f>
        <v>52.5</v>
      </c>
      <c r="J49" s="221">
        <f>J50+J55</f>
        <v>52.7</v>
      </c>
      <c r="K49" s="220">
        <f t="shared" ref="K49:K73" si="7">G49+H49+I49</f>
        <v>157.22499999999999</v>
      </c>
      <c r="L49" s="62">
        <f t="shared" ref="L49:L66" si="8">(K49/226.9/9)*100</f>
        <v>7.6991822143871502</v>
      </c>
      <c r="M49" s="336">
        <f>M50+M55</f>
        <v>234.7</v>
      </c>
      <c r="N49" s="15">
        <f>M49-E49</f>
        <v>24.800000000000011</v>
      </c>
      <c r="O49" s="30"/>
    </row>
    <row r="50" spans="1:15" ht="13.5" customHeight="1" x14ac:dyDescent="0.2">
      <c r="A50" s="123" t="s">
        <v>20</v>
      </c>
      <c r="B50" s="3" t="s">
        <v>21</v>
      </c>
      <c r="C50" s="27">
        <f>C51+C52+C53+C54</f>
        <v>79.5</v>
      </c>
      <c r="D50" s="15">
        <f>(C50/226.9/12)*100</f>
        <v>2.9197884530630231</v>
      </c>
      <c r="E50" s="223">
        <f>E51+E52+E53+E54</f>
        <v>124.2</v>
      </c>
      <c r="F50" s="146">
        <f t="shared" si="6"/>
        <v>4.5614808285588362</v>
      </c>
      <c r="G50" s="224">
        <f>G51+G52+G53+G54</f>
        <v>31.024999999999999</v>
      </c>
      <c r="H50" s="147">
        <f>H51+H52+H53+H54</f>
        <v>30.999999999999996</v>
      </c>
      <c r="I50" s="225">
        <f>I51+I52+I53+I54</f>
        <v>31.099999999999998</v>
      </c>
      <c r="J50" s="224">
        <f>J51+J52+J53+J54</f>
        <v>31.099999999999998</v>
      </c>
      <c r="K50" s="226">
        <f t="shared" si="7"/>
        <v>93.124999999999986</v>
      </c>
      <c r="L50" s="63">
        <f t="shared" si="8"/>
        <v>4.5602565985994801</v>
      </c>
      <c r="M50" s="337">
        <f>M51+M52+M53+M54</f>
        <v>146.4</v>
      </c>
      <c r="N50" s="15"/>
    </row>
    <row r="51" spans="1:15" ht="12.75" customHeight="1" x14ac:dyDescent="0.2">
      <c r="A51" s="227"/>
      <c r="B51" s="124" t="s">
        <v>22</v>
      </c>
      <c r="C51" s="125">
        <v>56.7</v>
      </c>
      <c r="D51" s="26">
        <f>(C51/226.9/12)*100</f>
        <v>2.0824151608638166</v>
      </c>
      <c r="E51" s="81">
        <v>76.5</v>
      </c>
      <c r="F51" s="133">
        <f t="shared" si="6"/>
        <v>2.8096077567210225</v>
      </c>
      <c r="G51" s="32">
        <f>E51/4</f>
        <v>19.125</v>
      </c>
      <c r="H51" s="7">
        <f>E51/4</f>
        <v>19.125</v>
      </c>
      <c r="I51" s="8">
        <f>E51/4</f>
        <v>19.125</v>
      </c>
      <c r="J51" s="32">
        <v>19.2</v>
      </c>
      <c r="K51" s="81">
        <f t="shared" si="7"/>
        <v>57.375</v>
      </c>
      <c r="L51" s="127">
        <f t="shared" si="8"/>
        <v>2.8096077567210229</v>
      </c>
      <c r="M51" s="328">
        <v>118.4</v>
      </c>
      <c r="N51" s="15"/>
    </row>
    <row r="52" spans="1:15" ht="12" customHeight="1" x14ac:dyDescent="0.2">
      <c r="A52" s="227"/>
      <c r="B52" s="124" t="s">
        <v>23</v>
      </c>
      <c r="C52" s="125"/>
      <c r="D52" s="148"/>
      <c r="E52" s="81">
        <v>23</v>
      </c>
      <c r="F52" s="133">
        <f t="shared" si="6"/>
        <v>0.84471867195534001</v>
      </c>
      <c r="G52" s="131">
        <v>5.7</v>
      </c>
      <c r="H52" s="130">
        <v>5.7</v>
      </c>
      <c r="I52" s="129">
        <v>5.8</v>
      </c>
      <c r="J52" s="32">
        <v>5.8</v>
      </c>
      <c r="K52" s="132">
        <f t="shared" si="7"/>
        <v>17.2</v>
      </c>
      <c r="L52" s="127">
        <f t="shared" si="8"/>
        <v>0.84227021203662888</v>
      </c>
      <c r="M52" s="328"/>
      <c r="N52" s="15"/>
    </row>
    <row r="53" spans="1:15" ht="13.5" customHeight="1" x14ac:dyDescent="0.2">
      <c r="A53" s="227"/>
      <c r="B53" s="124" t="s">
        <v>24</v>
      </c>
      <c r="C53" s="125">
        <v>20.8</v>
      </c>
      <c r="D53" s="26">
        <f t="shared" ref="D53:D60" si="9">(C53/226.9/12)*100</f>
        <v>0.76391949463787268</v>
      </c>
      <c r="E53" s="81">
        <v>21.9</v>
      </c>
      <c r="F53" s="133">
        <f t="shared" si="6"/>
        <v>0.80431908329660651</v>
      </c>
      <c r="G53" s="32">
        <v>5.5</v>
      </c>
      <c r="H53" s="7">
        <f>E53/4</f>
        <v>5.4749999999999996</v>
      </c>
      <c r="I53" s="8">
        <f>E53/4</f>
        <v>5.4749999999999996</v>
      </c>
      <c r="J53" s="32">
        <v>5.4</v>
      </c>
      <c r="K53" s="81">
        <f t="shared" si="7"/>
        <v>16.45</v>
      </c>
      <c r="L53" s="127">
        <f t="shared" si="8"/>
        <v>0.80554331325596207</v>
      </c>
      <c r="M53" s="328">
        <v>26</v>
      </c>
      <c r="N53" s="15"/>
    </row>
    <row r="54" spans="1:15" ht="12" customHeight="1" x14ac:dyDescent="0.2">
      <c r="A54" s="227"/>
      <c r="B54" s="124" t="s">
        <v>25</v>
      </c>
      <c r="C54" s="125">
        <v>2</v>
      </c>
      <c r="D54" s="26">
        <f t="shared" si="9"/>
        <v>7.3453797561333925E-2</v>
      </c>
      <c r="E54" s="81">
        <v>2.8</v>
      </c>
      <c r="F54" s="133">
        <f t="shared" si="6"/>
        <v>0.10283531658586748</v>
      </c>
      <c r="G54" s="32">
        <f>E54/4</f>
        <v>0.7</v>
      </c>
      <c r="H54" s="7">
        <f>E54/4</f>
        <v>0.7</v>
      </c>
      <c r="I54" s="8">
        <f>E54/4</f>
        <v>0.7</v>
      </c>
      <c r="J54" s="228">
        <f>E54/4</f>
        <v>0.7</v>
      </c>
      <c r="K54" s="132">
        <f t="shared" si="7"/>
        <v>2.0999999999999996</v>
      </c>
      <c r="L54" s="127">
        <f t="shared" si="8"/>
        <v>0.10283531658586748</v>
      </c>
      <c r="M54" s="328">
        <v>2</v>
      </c>
      <c r="N54" s="15"/>
    </row>
    <row r="55" spans="1:15" ht="15" customHeight="1" thickBot="1" x14ac:dyDescent="0.25">
      <c r="A55" s="227"/>
      <c r="B55" s="373" t="s">
        <v>26</v>
      </c>
      <c r="C55" s="229">
        <f>C51*C162%</f>
        <v>46.93004836759372</v>
      </c>
      <c r="D55" s="27">
        <f t="shared" si="9"/>
        <v>1.7235951361684192</v>
      </c>
      <c r="E55" s="348">
        <f>G55+H55+I55+J55</f>
        <v>85.699999999999989</v>
      </c>
      <c r="F55" s="349">
        <f t="shared" si="6"/>
        <v>3.1474952255031581</v>
      </c>
      <c r="G55" s="350">
        <v>21.3</v>
      </c>
      <c r="H55" s="351">
        <v>21.4</v>
      </c>
      <c r="I55" s="249">
        <v>21.4</v>
      </c>
      <c r="J55" s="350">
        <v>21.6</v>
      </c>
      <c r="K55" s="239">
        <f t="shared" si="7"/>
        <v>64.099999999999994</v>
      </c>
      <c r="L55" s="352">
        <f t="shared" si="8"/>
        <v>3.1389256157876697</v>
      </c>
      <c r="M55" s="353">
        <v>88.3</v>
      </c>
      <c r="N55" s="28"/>
    </row>
    <row r="56" spans="1:15" ht="13.5" thickBot="1" x14ac:dyDescent="0.25">
      <c r="A56" s="123" t="s">
        <v>27</v>
      </c>
      <c r="B56" s="21" t="s">
        <v>28</v>
      </c>
      <c r="C56" s="232">
        <v>8.6999999999999993</v>
      </c>
      <c r="D56" s="15">
        <f t="shared" si="9"/>
        <v>0.31952401939180253</v>
      </c>
      <c r="E56" s="77">
        <v>8.8000000000000007</v>
      </c>
      <c r="F56" s="36">
        <f t="shared" si="6"/>
        <v>0.32319670926986926</v>
      </c>
      <c r="G56" s="53">
        <f>E56/4</f>
        <v>2.2000000000000002</v>
      </c>
      <c r="H56" s="36">
        <f>E56/4</f>
        <v>2.2000000000000002</v>
      </c>
      <c r="I56" s="120">
        <f>E56/4</f>
        <v>2.2000000000000002</v>
      </c>
      <c r="J56" s="53">
        <f>E56/4</f>
        <v>2.2000000000000002</v>
      </c>
      <c r="K56" s="354">
        <f t="shared" si="7"/>
        <v>6.6000000000000005</v>
      </c>
      <c r="L56" s="355">
        <f t="shared" si="8"/>
        <v>0.32319670926986932</v>
      </c>
      <c r="M56" s="356">
        <v>8.1</v>
      </c>
      <c r="N56" s="23">
        <f>M56-E56</f>
        <v>-0.70000000000000107</v>
      </c>
    </row>
    <row r="57" spans="1:15" ht="13.5" thickBot="1" x14ac:dyDescent="0.25">
      <c r="A57" s="123" t="s">
        <v>29</v>
      </c>
      <c r="B57" s="215" t="s">
        <v>30</v>
      </c>
      <c r="C57" s="232">
        <v>2</v>
      </c>
      <c r="D57" s="15">
        <f t="shared" si="9"/>
        <v>7.3453797561333925E-2</v>
      </c>
      <c r="E57" s="77">
        <v>8.4</v>
      </c>
      <c r="F57" s="36">
        <f t="shared" si="6"/>
        <v>0.30850594975760248</v>
      </c>
      <c r="G57" s="53">
        <f>E57/4</f>
        <v>2.1</v>
      </c>
      <c r="H57" s="36">
        <f>E57/4</f>
        <v>2.1</v>
      </c>
      <c r="I57" s="120">
        <f>E57/4</f>
        <v>2.1</v>
      </c>
      <c r="J57" s="53">
        <f>E57/4</f>
        <v>2.1</v>
      </c>
      <c r="K57" s="354">
        <f t="shared" si="7"/>
        <v>6.3000000000000007</v>
      </c>
      <c r="L57" s="355">
        <f t="shared" si="8"/>
        <v>0.30850594975760248</v>
      </c>
      <c r="M57" s="356">
        <v>3.6</v>
      </c>
      <c r="N57" s="23">
        <f>M57-E57</f>
        <v>-4.8000000000000007</v>
      </c>
    </row>
    <row r="58" spans="1:15" ht="18" customHeight="1" x14ac:dyDescent="0.2">
      <c r="A58" s="123" t="s">
        <v>31</v>
      </c>
      <c r="B58" s="20" t="s">
        <v>33</v>
      </c>
      <c r="C58" s="232">
        <f>C59+C65+C66</f>
        <v>290.96825876662638</v>
      </c>
      <c r="D58" s="15">
        <f t="shared" si="9"/>
        <v>10.686361788108799</v>
      </c>
      <c r="E58" s="78">
        <f>E59+E65+E66</f>
        <v>135.20668000000001</v>
      </c>
      <c r="F58" s="34">
        <f t="shared" si="6"/>
        <v>4.9657220508300286</v>
      </c>
      <c r="G58" s="37">
        <f>G59+G65+G66</f>
        <v>23.876670000000001</v>
      </c>
      <c r="H58" s="34">
        <f>H59+H65+H66</f>
        <v>33.776669999999996</v>
      </c>
      <c r="I58" s="37">
        <f>I59+I65+I66+0.1</f>
        <v>33.926670000000001</v>
      </c>
      <c r="J58" s="48">
        <f>J59+J65+J66</f>
        <v>43.551670000000001</v>
      </c>
      <c r="K58" s="74">
        <f t="shared" si="7"/>
        <v>91.580010000000001</v>
      </c>
      <c r="L58" s="62">
        <f t="shared" si="8"/>
        <v>4.484599676803291</v>
      </c>
      <c r="M58" s="343">
        <f>M59+M65+M66</f>
        <v>239.79999999999998</v>
      </c>
      <c r="N58" s="178">
        <f>M58-E58</f>
        <v>104.59331999999998</v>
      </c>
    </row>
    <row r="59" spans="1:15" ht="13.5" customHeight="1" x14ac:dyDescent="0.2">
      <c r="A59" s="227" t="s">
        <v>135</v>
      </c>
      <c r="B59" s="124" t="s">
        <v>34</v>
      </c>
      <c r="C59" s="26">
        <f>C60+C61+C62+C63+C64</f>
        <v>40.9</v>
      </c>
      <c r="D59" s="26">
        <f t="shared" si="9"/>
        <v>1.5021301601292785</v>
      </c>
      <c r="E59" s="81">
        <f>E60+E61+E62+E63+E64</f>
        <v>32.9</v>
      </c>
      <c r="F59" s="133">
        <f t="shared" si="6"/>
        <v>1.208314969883943</v>
      </c>
      <c r="G59" s="131">
        <v>8.3000000000000007</v>
      </c>
      <c r="H59" s="7">
        <f>H60+H61+H62+H63+H64</f>
        <v>8.1999999999999993</v>
      </c>
      <c r="I59" s="8">
        <f>I60+I61+I62+I63+I64</f>
        <v>8.25</v>
      </c>
      <c r="J59" s="32">
        <f>J60+J61+J62+J63+J64</f>
        <v>8.0750000000000011</v>
      </c>
      <c r="K59" s="81">
        <f t="shared" si="7"/>
        <v>24.75</v>
      </c>
      <c r="L59" s="127">
        <f t="shared" si="8"/>
        <v>1.2119876597620098</v>
      </c>
      <c r="M59" s="340">
        <v>87.9</v>
      </c>
      <c r="N59" s="15"/>
    </row>
    <row r="60" spans="1:15" ht="12.75" customHeight="1" x14ac:dyDescent="0.2">
      <c r="A60" s="235"/>
      <c r="B60" s="124" t="s">
        <v>39</v>
      </c>
      <c r="C60" s="236">
        <v>26.3</v>
      </c>
      <c r="D60" s="26">
        <f t="shared" si="9"/>
        <v>0.96591743793154106</v>
      </c>
      <c r="E60" s="237">
        <v>19.899999999999999</v>
      </c>
      <c r="F60" s="133">
        <f t="shared" si="6"/>
        <v>0.73086528573527254</v>
      </c>
      <c r="G60" s="32">
        <v>5</v>
      </c>
      <c r="H60" s="7">
        <v>5</v>
      </c>
      <c r="I60" s="8">
        <v>5</v>
      </c>
      <c r="J60" s="32">
        <v>4.9000000000000004</v>
      </c>
      <c r="K60" s="132">
        <f t="shared" si="7"/>
        <v>15</v>
      </c>
      <c r="L60" s="127">
        <f t="shared" si="8"/>
        <v>0.73453797561333933</v>
      </c>
      <c r="M60" s="328">
        <v>68.8</v>
      </c>
      <c r="N60" s="15"/>
    </row>
    <row r="61" spans="1:15" ht="12.75" customHeight="1" x14ac:dyDescent="0.2">
      <c r="A61" s="235"/>
      <c r="B61" s="124" t="s">
        <v>40</v>
      </c>
      <c r="C61" s="236"/>
      <c r="D61" s="169"/>
      <c r="E61" s="237">
        <v>5.9</v>
      </c>
      <c r="F61" s="133">
        <f t="shared" si="6"/>
        <v>0.21668870280593505</v>
      </c>
      <c r="G61" s="32">
        <f>E61/4</f>
        <v>1.4750000000000001</v>
      </c>
      <c r="H61" s="7">
        <f>E61/4</f>
        <v>1.4750000000000001</v>
      </c>
      <c r="I61" s="8">
        <f>E61/4</f>
        <v>1.4750000000000001</v>
      </c>
      <c r="J61" s="32">
        <f>1.5-0.1</f>
        <v>1.4</v>
      </c>
      <c r="K61" s="81">
        <f t="shared" si="7"/>
        <v>4.4250000000000007</v>
      </c>
      <c r="L61" s="127">
        <f t="shared" si="8"/>
        <v>0.21668870280593511</v>
      </c>
      <c r="M61" s="328">
        <v>0</v>
      </c>
      <c r="N61" s="15"/>
    </row>
    <row r="62" spans="1:15" ht="12" customHeight="1" x14ac:dyDescent="0.2">
      <c r="A62" s="235"/>
      <c r="B62" s="124" t="s">
        <v>41</v>
      </c>
      <c r="C62" s="236">
        <v>9.6999999999999993</v>
      </c>
      <c r="D62" s="26">
        <f t="shared" ref="D62:D70" si="10">(C62/226.9/12)*100</f>
        <v>0.35625091817246951</v>
      </c>
      <c r="E62" s="237">
        <v>5.7</v>
      </c>
      <c r="F62" s="133">
        <f t="shared" si="6"/>
        <v>0.20934332304980166</v>
      </c>
      <c r="G62" s="32">
        <v>1.5</v>
      </c>
      <c r="H62" s="7">
        <f>E62/4</f>
        <v>1.425</v>
      </c>
      <c r="I62" s="8">
        <f>E62/4</f>
        <v>1.425</v>
      </c>
      <c r="J62" s="32">
        <f>E62/4</f>
        <v>1.425</v>
      </c>
      <c r="K62" s="81">
        <f t="shared" si="7"/>
        <v>4.3499999999999996</v>
      </c>
      <c r="L62" s="127">
        <f t="shared" si="8"/>
        <v>0.21301601292786834</v>
      </c>
      <c r="M62" s="328">
        <v>15.1</v>
      </c>
      <c r="N62" s="15"/>
    </row>
    <row r="63" spans="1:15" ht="11.25" hidden="1" customHeight="1" thickBot="1" x14ac:dyDescent="0.25">
      <c r="A63" s="235"/>
      <c r="B63" s="124" t="s">
        <v>42</v>
      </c>
      <c r="C63" s="236"/>
      <c r="D63" s="26">
        <f t="shared" si="10"/>
        <v>0</v>
      </c>
      <c r="E63" s="237"/>
      <c r="F63" s="133">
        <f t="shared" si="6"/>
        <v>0</v>
      </c>
      <c r="G63" s="149">
        <f>E63/4</f>
        <v>0</v>
      </c>
      <c r="H63" s="9">
        <f>E63/4</f>
        <v>0</v>
      </c>
      <c r="I63" s="11">
        <f>E63/4</f>
        <v>0</v>
      </c>
      <c r="J63" s="32">
        <f>E63/4</f>
        <v>0</v>
      </c>
      <c r="K63" s="132">
        <f t="shared" si="7"/>
        <v>0</v>
      </c>
      <c r="L63" s="127">
        <f t="shared" si="8"/>
        <v>0</v>
      </c>
      <c r="M63" s="328"/>
      <c r="N63" s="15"/>
    </row>
    <row r="64" spans="1:15" ht="13.5" customHeight="1" x14ac:dyDescent="0.2">
      <c r="A64" s="235"/>
      <c r="B64" s="124" t="s">
        <v>43</v>
      </c>
      <c r="C64" s="236">
        <v>4.9000000000000004</v>
      </c>
      <c r="D64" s="26">
        <f t="shared" si="10"/>
        <v>0.1799618040252681</v>
      </c>
      <c r="E64" s="237">
        <v>1.4</v>
      </c>
      <c r="F64" s="133"/>
      <c r="G64" s="32">
        <v>0.3</v>
      </c>
      <c r="H64" s="7">
        <v>0.3</v>
      </c>
      <c r="I64" s="8">
        <f>E64/4</f>
        <v>0.35</v>
      </c>
      <c r="J64" s="32">
        <f>E64/4</f>
        <v>0.35</v>
      </c>
      <c r="K64" s="81">
        <f t="shared" si="7"/>
        <v>0.95</v>
      </c>
      <c r="L64" s="127">
        <f t="shared" si="8"/>
        <v>4.6520738455511482E-2</v>
      </c>
      <c r="M64" s="328">
        <v>4</v>
      </c>
      <c r="N64" s="15"/>
    </row>
    <row r="65" spans="1:14" ht="16.5" customHeight="1" x14ac:dyDescent="0.2">
      <c r="A65" s="235"/>
      <c r="B65" s="3" t="s">
        <v>49</v>
      </c>
      <c r="C65" s="238">
        <f>C60*C162%</f>
        <v>21.768258766626364</v>
      </c>
      <c r="D65" s="27">
        <f t="shared" si="10"/>
        <v>0.79948063635325251</v>
      </c>
      <c r="E65" s="239">
        <f>(E60+E61)*86.46%</f>
        <v>22.306679999999997</v>
      </c>
      <c r="F65" s="146">
        <f t="shared" ref="F65:F73" si="11">(E65/226.9/12)*100</f>
        <v>0.81925517849272789</v>
      </c>
      <c r="G65" s="147">
        <f>E65/4</f>
        <v>5.5766699999999991</v>
      </c>
      <c r="H65" s="147">
        <f>E65/4</f>
        <v>5.5766699999999991</v>
      </c>
      <c r="I65" s="225">
        <f>E65/4</f>
        <v>5.5766699999999991</v>
      </c>
      <c r="J65" s="224">
        <f>E65/4-0.1</f>
        <v>5.4766699999999995</v>
      </c>
      <c r="K65" s="226">
        <f t="shared" si="7"/>
        <v>16.730009999999996</v>
      </c>
      <c r="L65" s="63">
        <f t="shared" si="8"/>
        <v>0.81925517849272789</v>
      </c>
      <c r="M65" s="338">
        <v>51.3</v>
      </c>
      <c r="N65" s="15"/>
    </row>
    <row r="66" spans="1:14" ht="18" customHeight="1" thickBot="1" x14ac:dyDescent="0.25">
      <c r="A66" s="193" t="s">
        <v>136</v>
      </c>
      <c r="B66" s="277" t="s">
        <v>35</v>
      </c>
      <c r="C66" s="125">
        <v>228.3</v>
      </c>
      <c r="D66" s="26">
        <f t="shared" si="10"/>
        <v>8.3847509916262677</v>
      </c>
      <c r="E66" s="237">
        <v>80</v>
      </c>
      <c r="F66" s="283">
        <f t="shared" si="11"/>
        <v>2.9381519024533569</v>
      </c>
      <c r="G66" s="228">
        <v>10</v>
      </c>
      <c r="H66" s="126">
        <v>20</v>
      </c>
      <c r="I66" s="357">
        <v>20</v>
      </c>
      <c r="J66" s="228">
        <v>30</v>
      </c>
      <c r="K66" s="237">
        <f t="shared" si="7"/>
        <v>50</v>
      </c>
      <c r="L66" s="282">
        <f t="shared" si="8"/>
        <v>2.4484599187111309</v>
      </c>
      <c r="M66" s="333">
        <v>100.6</v>
      </c>
      <c r="N66" s="47"/>
    </row>
    <row r="67" spans="1:14" ht="13.5" thickBot="1" x14ac:dyDescent="0.25">
      <c r="A67" s="240" t="s">
        <v>32</v>
      </c>
      <c r="B67" s="21" t="s">
        <v>46</v>
      </c>
      <c r="C67" s="325">
        <v>44.1</v>
      </c>
      <c r="D67" s="47">
        <f t="shared" si="10"/>
        <v>1.6196562362274129</v>
      </c>
      <c r="E67" s="346">
        <v>92.2</v>
      </c>
      <c r="F67" s="35">
        <f t="shared" si="11"/>
        <v>3.3862200675774936</v>
      </c>
      <c r="G67" s="52">
        <f>E67/4</f>
        <v>23.05</v>
      </c>
      <c r="H67" s="35">
        <f>E67/4</f>
        <v>23.05</v>
      </c>
      <c r="I67" s="360">
        <v>23</v>
      </c>
      <c r="J67" s="52">
        <f>23.1-0.1</f>
        <v>23</v>
      </c>
      <c r="K67" s="76">
        <f t="shared" si="7"/>
        <v>69.099999999999994</v>
      </c>
      <c r="L67" s="105">
        <f t="shared" ref="L67:L73" si="12">(K67/226.9/9)*100</f>
        <v>3.3837716076587823</v>
      </c>
      <c r="M67" s="361">
        <v>45.4</v>
      </c>
      <c r="N67" s="29">
        <f>M67-E67</f>
        <v>-46.800000000000004</v>
      </c>
    </row>
    <row r="68" spans="1:14" ht="12.75" customHeight="1" x14ac:dyDescent="0.2">
      <c r="A68" s="123" t="s">
        <v>36</v>
      </c>
      <c r="B68" s="17" t="s">
        <v>48</v>
      </c>
      <c r="C68" s="207">
        <f>C69+C75</f>
        <v>745.07545344619109</v>
      </c>
      <c r="D68" s="178">
        <f t="shared" si="10"/>
        <v>27.364310762677796</v>
      </c>
      <c r="E68" s="362">
        <f>G68+H68+I68+J68</f>
        <v>785.57500000000005</v>
      </c>
      <c r="F68" s="56">
        <f t="shared" si="11"/>
        <v>28.851733509622452</v>
      </c>
      <c r="G68" s="57">
        <f>G69+G75</f>
        <v>196.5</v>
      </c>
      <c r="H68" s="56">
        <f>H69+H75</f>
        <v>206.375</v>
      </c>
      <c r="I68" s="56">
        <f>I69+I75</f>
        <v>196.5</v>
      </c>
      <c r="J68" s="180">
        <v>186.2</v>
      </c>
      <c r="K68" s="179">
        <f t="shared" si="7"/>
        <v>599.375</v>
      </c>
      <c r="L68" s="207">
        <f t="shared" si="12"/>
        <v>29.350913275549679</v>
      </c>
      <c r="M68" s="332">
        <f>M69+M75</f>
        <v>717.8</v>
      </c>
      <c r="N68" s="178">
        <f>M68-E68</f>
        <v>-67.775000000000091</v>
      </c>
    </row>
    <row r="69" spans="1:14" ht="14.25" customHeight="1" x14ac:dyDescent="0.2">
      <c r="A69" s="123" t="s">
        <v>37</v>
      </c>
      <c r="B69" s="3" t="s">
        <v>38</v>
      </c>
      <c r="C69" s="242">
        <f>C70+C71+C72+C73+C74</f>
        <v>501.9</v>
      </c>
      <c r="D69" s="15">
        <f t="shared" si="10"/>
        <v>18.433230498016748</v>
      </c>
      <c r="E69" s="220">
        <f>E70+E71+E72+E73+E74</f>
        <v>495</v>
      </c>
      <c r="F69" s="34">
        <f t="shared" si="11"/>
        <v>18.179814896430145</v>
      </c>
      <c r="G69" s="221">
        <f>G70+G71+G72+G73+G74+0.1</f>
        <v>123.79999999999998</v>
      </c>
      <c r="H69" s="34">
        <f>H70+H71+H72+H73+H74</f>
        <v>133.77500000000001</v>
      </c>
      <c r="I69" s="37">
        <f>I70+I71+I72+I73+I74+0.1</f>
        <v>123.79999999999998</v>
      </c>
      <c r="J69" s="48">
        <f>J70+J71+J72+J73+J74+0.1</f>
        <v>113.625</v>
      </c>
      <c r="K69" s="74">
        <f t="shared" si="7"/>
        <v>381.375</v>
      </c>
      <c r="L69" s="62">
        <f t="shared" si="12"/>
        <v>18.67562802996915</v>
      </c>
      <c r="M69" s="336">
        <f>M70+M71+M72+M73+M74</f>
        <v>485.99999999999994</v>
      </c>
      <c r="N69" s="15"/>
    </row>
    <row r="70" spans="1:14" ht="13.5" customHeight="1" x14ac:dyDescent="0.2">
      <c r="A70" s="227"/>
      <c r="B70" s="124" t="s">
        <v>39</v>
      </c>
      <c r="C70" s="127">
        <v>293.8</v>
      </c>
      <c r="D70" s="26">
        <f t="shared" si="10"/>
        <v>10.790362861759954</v>
      </c>
      <c r="E70" s="243">
        <v>259.5</v>
      </c>
      <c r="F70" s="133">
        <f t="shared" si="11"/>
        <v>9.5306302335830768</v>
      </c>
      <c r="G70" s="32">
        <f>E70/4</f>
        <v>64.875</v>
      </c>
      <c r="H70" s="7">
        <v>64.900000000000006</v>
      </c>
      <c r="I70" s="8">
        <f>E70/4</f>
        <v>64.875</v>
      </c>
      <c r="J70" s="32">
        <f>E70/4-0.1</f>
        <v>64.775000000000006</v>
      </c>
      <c r="K70" s="81">
        <f t="shared" si="7"/>
        <v>194.65</v>
      </c>
      <c r="L70" s="127">
        <f t="shared" si="12"/>
        <v>9.531854463542432</v>
      </c>
      <c r="M70" s="328">
        <v>310.89999999999998</v>
      </c>
      <c r="N70" s="15"/>
    </row>
    <row r="71" spans="1:14" ht="12.75" customHeight="1" x14ac:dyDescent="0.2">
      <c r="A71" s="227"/>
      <c r="B71" s="124" t="s">
        <v>40</v>
      </c>
      <c r="C71" s="127"/>
      <c r="D71" s="182"/>
      <c r="E71" s="243">
        <v>77.900000000000006</v>
      </c>
      <c r="F71" s="133">
        <f t="shared" si="11"/>
        <v>2.8610254150139567</v>
      </c>
      <c r="G71" s="32">
        <f>E71/4</f>
        <v>19.475000000000001</v>
      </c>
      <c r="H71" s="7">
        <f>E71/4</f>
        <v>19.475000000000001</v>
      </c>
      <c r="I71" s="8">
        <f>E71/4</f>
        <v>19.475000000000001</v>
      </c>
      <c r="J71" s="32">
        <f>19.5-0.1</f>
        <v>19.399999999999999</v>
      </c>
      <c r="K71" s="81">
        <f t="shared" si="7"/>
        <v>58.425000000000004</v>
      </c>
      <c r="L71" s="127">
        <f t="shared" si="12"/>
        <v>2.8610254150139562</v>
      </c>
      <c r="M71" s="328">
        <v>46.4</v>
      </c>
      <c r="N71" s="15"/>
    </row>
    <row r="72" spans="1:14" ht="11.25" customHeight="1" x14ac:dyDescent="0.2">
      <c r="A72" s="227"/>
      <c r="B72" s="124" t="s">
        <v>41</v>
      </c>
      <c r="C72" s="127">
        <v>108.1</v>
      </c>
      <c r="D72" s="26">
        <f>(C72/226.9/12)*100</f>
        <v>3.9701777581900979</v>
      </c>
      <c r="E72" s="243">
        <v>74.2</v>
      </c>
      <c r="F72" s="133">
        <f t="shared" si="11"/>
        <v>2.7251358895254882</v>
      </c>
      <c r="G72" s="32">
        <v>18.5</v>
      </c>
      <c r="H72" s="7">
        <v>18.5</v>
      </c>
      <c r="I72" s="8">
        <f>E72/4</f>
        <v>18.55</v>
      </c>
      <c r="J72" s="32">
        <f>E72/4</f>
        <v>18.55</v>
      </c>
      <c r="K72" s="132">
        <f t="shared" si="7"/>
        <v>55.55</v>
      </c>
      <c r="L72" s="127">
        <f t="shared" si="12"/>
        <v>2.720238969688066</v>
      </c>
      <c r="M72" s="328">
        <v>68.400000000000006</v>
      </c>
      <c r="N72" s="15"/>
    </row>
    <row r="73" spans="1:14" ht="11.25" customHeight="1" x14ac:dyDescent="0.2">
      <c r="A73" s="227"/>
      <c r="B73" s="124" t="s">
        <v>42</v>
      </c>
      <c r="C73" s="127">
        <v>96.7</v>
      </c>
      <c r="D73" s="26">
        <f>(C73/226.9/12)*100</f>
        <v>3.5514911120904951</v>
      </c>
      <c r="E73" s="243">
        <v>83.4</v>
      </c>
      <c r="F73" s="133">
        <f t="shared" si="11"/>
        <v>3.0630233583076247</v>
      </c>
      <c r="G73" s="32">
        <f>E73/4</f>
        <v>20.85</v>
      </c>
      <c r="H73" s="7">
        <v>30.9</v>
      </c>
      <c r="I73" s="8">
        <v>20.8</v>
      </c>
      <c r="J73" s="32">
        <f>10.9-0.1</f>
        <v>10.8</v>
      </c>
      <c r="K73" s="81">
        <f t="shared" si="7"/>
        <v>72.55</v>
      </c>
      <c r="L73" s="127">
        <f t="shared" si="12"/>
        <v>3.5527153420498503</v>
      </c>
      <c r="M73" s="328">
        <v>60.3</v>
      </c>
      <c r="N73" s="15"/>
    </row>
    <row r="74" spans="1:14" ht="10.5" customHeight="1" x14ac:dyDescent="0.2">
      <c r="A74" s="148"/>
      <c r="B74" s="124" t="s">
        <v>43</v>
      </c>
      <c r="C74" s="127">
        <v>3.3</v>
      </c>
      <c r="D74" s="26">
        <f>(C74/226.9/12)*100</f>
        <v>0.12119876597620097</v>
      </c>
      <c r="E74" s="243"/>
      <c r="F74" s="133"/>
      <c r="G74" s="149"/>
      <c r="H74" s="9"/>
      <c r="I74" s="11"/>
      <c r="J74" s="149"/>
      <c r="K74" s="132"/>
      <c r="L74" s="127"/>
      <c r="M74" s="328"/>
      <c r="N74" s="15"/>
    </row>
    <row r="75" spans="1:14" ht="12" customHeight="1" thickBot="1" x14ac:dyDescent="0.25">
      <c r="A75" s="123" t="s">
        <v>44</v>
      </c>
      <c r="B75" s="373" t="s">
        <v>49</v>
      </c>
      <c r="C75" s="352">
        <f>C70*C162%</f>
        <v>243.17545344619109</v>
      </c>
      <c r="D75" s="374">
        <f>(C75/226.9/12)*100</f>
        <v>8.9310802646610519</v>
      </c>
      <c r="E75" s="375">
        <f>G75+H75+I75+J75</f>
        <v>290.60000000000002</v>
      </c>
      <c r="F75" s="349">
        <f>(E75/226.9/12)*100</f>
        <v>10.67283678566182</v>
      </c>
      <c r="G75" s="241">
        <v>72.7</v>
      </c>
      <c r="H75" s="351">
        <v>72.599999999999994</v>
      </c>
      <c r="I75" s="249">
        <v>72.7</v>
      </c>
      <c r="J75" s="350">
        <v>72.599999999999994</v>
      </c>
      <c r="K75" s="239">
        <f>G75+H75+I75</f>
        <v>218</v>
      </c>
      <c r="L75" s="352">
        <f>(K75/226.9/9)*100</f>
        <v>10.675285245580529</v>
      </c>
      <c r="M75" s="353">
        <v>231.8</v>
      </c>
      <c r="N75" s="47"/>
    </row>
    <row r="76" spans="1:14" ht="12.75" x14ac:dyDescent="0.2">
      <c r="A76" s="145" t="s">
        <v>45</v>
      </c>
      <c r="B76" s="17" t="s">
        <v>51</v>
      </c>
      <c r="C76" s="207"/>
      <c r="D76" s="178"/>
      <c r="E76" s="362"/>
      <c r="F76" s="209"/>
      <c r="G76" s="212"/>
      <c r="H76" s="211"/>
      <c r="I76" s="210"/>
      <c r="J76" s="212"/>
      <c r="K76" s="376"/>
      <c r="L76" s="377"/>
      <c r="M76" s="378"/>
      <c r="N76" s="178">
        <f>M76-E76</f>
        <v>0</v>
      </c>
    </row>
    <row r="77" spans="1:14" ht="13.5" customHeight="1" x14ac:dyDescent="0.2">
      <c r="A77" s="123"/>
      <c r="B77" s="2" t="s">
        <v>52</v>
      </c>
      <c r="C77" s="62">
        <f>C78+C84</f>
        <v>524.64284159613067</v>
      </c>
      <c r="D77" s="15">
        <f>(C77/226.9/12)*100</f>
        <v>19.26850453930258</v>
      </c>
      <c r="E77" s="78">
        <f>E78+E84</f>
        <v>511.79999999999995</v>
      </c>
      <c r="F77" s="34">
        <f t="shared" ref="F77:F82" si="13">(E77/226.9/12)*100</f>
        <v>18.796826795945346</v>
      </c>
      <c r="G77" s="221">
        <f>E77/4+0.1</f>
        <v>128.04999999999998</v>
      </c>
      <c r="H77" s="196">
        <f t="shared" ref="H77:H82" si="14">E77/4</f>
        <v>127.94999999999999</v>
      </c>
      <c r="I77" s="222">
        <f>I78+I84</f>
        <v>127.9</v>
      </c>
      <c r="J77" s="221">
        <f>J78+J84</f>
        <v>127.80000000000001</v>
      </c>
      <c r="K77" s="220">
        <f t="shared" ref="K77:K82" si="15">G77+H77+I77</f>
        <v>383.9</v>
      </c>
      <c r="L77" s="62">
        <f t="shared" ref="L77:L82" si="16">(K77/226.9/9)*100</f>
        <v>18.79927525586406</v>
      </c>
      <c r="M77" s="336">
        <f>M78+M84</f>
        <v>423.3</v>
      </c>
      <c r="N77" s="15">
        <f>M77-E77</f>
        <v>-88.499999999999943</v>
      </c>
    </row>
    <row r="78" spans="1:14" ht="15" customHeight="1" x14ac:dyDescent="0.2">
      <c r="A78" s="123" t="s">
        <v>137</v>
      </c>
      <c r="B78" s="3" t="s">
        <v>53</v>
      </c>
      <c r="C78" s="245">
        <f>C79+C80+C81+C82+C83</f>
        <v>351.5</v>
      </c>
      <c r="D78" s="27">
        <f>(C78/226.9/12)*100</f>
        <v>12.909504921404436</v>
      </c>
      <c r="E78" s="231">
        <f>E79+E80+E81+E82+E83</f>
        <v>325.2</v>
      </c>
      <c r="F78" s="146">
        <f t="shared" si="13"/>
        <v>11.943587483472895</v>
      </c>
      <c r="G78" s="224">
        <f>E78/4+0.1</f>
        <v>81.399999999999991</v>
      </c>
      <c r="H78" s="147">
        <f t="shared" si="14"/>
        <v>81.3</v>
      </c>
      <c r="I78" s="246">
        <f>E78/4</f>
        <v>81.3</v>
      </c>
      <c r="J78" s="247">
        <f>E78/4-0.1</f>
        <v>81.2</v>
      </c>
      <c r="K78" s="226">
        <f t="shared" si="15"/>
        <v>244</v>
      </c>
      <c r="L78" s="63">
        <f t="shared" si="16"/>
        <v>11.948484403310317</v>
      </c>
      <c r="M78" s="341">
        <f>M79+M80+M81+M82+M83</f>
        <v>287</v>
      </c>
      <c r="N78" s="15"/>
    </row>
    <row r="79" spans="1:14" ht="15.75" customHeight="1" x14ac:dyDescent="0.2">
      <c r="A79" s="123"/>
      <c r="B79" s="124" t="s">
        <v>54</v>
      </c>
      <c r="C79" s="127">
        <v>209.2</v>
      </c>
      <c r="D79" s="26">
        <f>(C79/226.9/12)*100</f>
        <v>7.6832672249155287</v>
      </c>
      <c r="E79" s="243">
        <v>166.7</v>
      </c>
      <c r="F79" s="133">
        <f t="shared" si="13"/>
        <v>6.122374026737182</v>
      </c>
      <c r="G79" s="32">
        <f>E79/4</f>
        <v>41.674999999999997</v>
      </c>
      <c r="H79" s="7">
        <f t="shared" si="14"/>
        <v>41.674999999999997</v>
      </c>
      <c r="I79" s="8">
        <f>E79/4</f>
        <v>41.674999999999997</v>
      </c>
      <c r="J79" s="32">
        <f>41.6</f>
        <v>41.6</v>
      </c>
      <c r="K79" s="81">
        <f t="shared" si="15"/>
        <v>125.02499999999999</v>
      </c>
      <c r="L79" s="127">
        <f t="shared" si="16"/>
        <v>6.1223740267371811</v>
      </c>
      <c r="M79" s="328">
        <v>182.8</v>
      </c>
      <c r="N79" s="15"/>
    </row>
    <row r="80" spans="1:14" ht="15" customHeight="1" x14ac:dyDescent="0.2">
      <c r="A80" s="123"/>
      <c r="B80" s="124" t="s">
        <v>55</v>
      </c>
      <c r="C80" s="127"/>
      <c r="D80" s="182"/>
      <c r="E80" s="243">
        <v>50</v>
      </c>
      <c r="F80" s="133">
        <f t="shared" si="13"/>
        <v>1.8363449390333482</v>
      </c>
      <c r="G80" s="32">
        <f>E80/4</f>
        <v>12.5</v>
      </c>
      <c r="H80" s="130">
        <f t="shared" si="14"/>
        <v>12.5</v>
      </c>
      <c r="I80" s="129">
        <f>E80/4</f>
        <v>12.5</v>
      </c>
      <c r="J80" s="131">
        <f>E80/4</f>
        <v>12.5</v>
      </c>
      <c r="K80" s="132">
        <f t="shared" si="15"/>
        <v>37.5</v>
      </c>
      <c r="L80" s="127">
        <f t="shared" si="16"/>
        <v>1.8363449390333477</v>
      </c>
      <c r="M80" s="328"/>
      <c r="N80" s="15"/>
    </row>
    <row r="81" spans="1:14" ht="14.25" customHeight="1" x14ac:dyDescent="0.2">
      <c r="A81" s="123"/>
      <c r="B81" s="124" t="s">
        <v>56</v>
      </c>
      <c r="C81" s="127">
        <v>76.900000000000006</v>
      </c>
      <c r="D81" s="26">
        <f>(C81/226.9/12)*100</f>
        <v>2.8242985162332896</v>
      </c>
      <c r="E81" s="243">
        <v>47.7</v>
      </c>
      <c r="F81" s="133">
        <f t="shared" si="13"/>
        <v>1.7518730718378142</v>
      </c>
      <c r="G81" s="32">
        <v>12</v>
      </c>
      <c r="H81" s="7">
        <f t="shared" si="14"/>
        <v>11.925000000000001</v>
      </c>
      <c r="I81" s="8">
        <f>E81/4</f>
        <v>11.925000000000001</v>
      </c>
      <c r="J81" s="32">
        <f>E81/4</f>
        <v>11.925000000000001</v>
      </c>
      <c r="K81" s="81">
        <f t="shared" si="15"/>
        <v>35.85</v>
      </c>
      <c r="L81" s="127">
        <f t="shared" si="16"/>
        <v>1.7555457617158807</v>
      </c>
      <c r="M81" s="328">
        <v>40.200000000000003</v>
      </c>
      <c r="N81" s="15"/>
    </row>
    <row r="82" spans="1:14" ht="13.5" customHeight="1" x14ac:dyDescent="0.2">
      <c r="A82" s="123"/>
      <c r="B82" s="124" t="s">
        <v>57</v>
      </c>
      <c r="C82" s="127">
        <v>65.400000000000006</v>
      </c>
      <c r="D82" s="26">
        <f>(C82/226.9/12)*100</f>
        <v>2.4019391802556194</v>
      </c>
      <c r="E82" s="243">
        <v>60.8</v>
      </c>
      <c r="F82" s="133">
        <f t="shared" si="13"/>
        <v>2.2329954458645509</v>
      </c>
      <c r="G82" s="32">
        <f>E82/4</f>
        <v>15.2</v>
      </c>
      <c r="H82" s="7">
        <f t="shared" si="14"/>
        <v>15.2</v>
      </c>
      <c r="I82" s="8">
        <f>E82/4</f>
        <v>15.2</v>
      </c>
      <c r="J82" s="32">
        <f>E82/4</f>
        <v>15.2</v>
      </c>
      <c r="K82" s="132">
        <f t="shared" si="15"/>
        <v>45.599999999999994</v>
      </c>
      <c r="L82" s="127">
        <f t="shared" si="16"/>
        <v>2.2329954458645509</v>
      </c>
      <c r="M82" s="328">
        <v>64</v>
      </c>
      <c r="N82" s="15"/>
    </row>
    <row r="83" spans="1:14" ht="14.25" customHeight="1" x14ac:dyDescent="0.2">
      <c r="A83" s="227"/>
      <c r="B83" s="124" t="s">
        <v>58</v>
      </c>
      <c r="C83" s="127"/>
      <c r="D83" s="182"/>
      <c r="E83" s="243"/>
      <c r="F83" s="133"/>
      <c r="G83" s="32"/>
      <c r="H83" s="9"/>
      <c r="I83" s="11"/>
      <c r="J83" s="248"/>
      <c r="K83" s="81"/>
      <c r="L83" s="150"/>
      <c r="M83" s="328"/>
      <c r="N83" s="15"/>
    </row>
    <row r="84" spans="1:14" ht="12" customHeight="1" thickBot="1" x14ac:dyDescent="0.25">
      <c r="A84" s="123" t="s">
        <v>138</v>
      </c>
      <c r="B84" s="363" t="s">
        <v>59</v>
      </c>
      <c r="C84" s="364">
        <f>C79*C162%-0.01</f>
        <v>173.14284159613061</v>
      </c>
      <c r="D84" s="365">
        <f>(C84/226.9/12)*100</f>
        <v>6.3589996178981405</v>
      </c>
      <c r="E84" s="366">
        <f>G84+H84+I84+J84</f>
        <v>186.6</v>
      </c>
      <c r="F84" s="367">
        <f>(E84/226.9/12)*100</f>
        <v>6.8532393124724544</v>
      </c>
      <c r="G84" s="369">
        <v>46.7</v>
      </c>
      <c r="H84" s="369">
        <v>46.7</v>
      </c>
      <c r="I84" s="370">
        <v>46.6</v>
      </c>
      <c r="J84" s="371">
        <v>46.6</v>
      </c>
      <c r="K84" s="379">
        <f>G84+H84+I84</f>
        <v>140</v>
      </c>
      <c r="L84" s="364">
        <f>(K84/226.9/9)*100</f>
        <v>6.8556877723911667</v>
      </c>
      <c r="M84" s="372">
        <v>136.30000000000001</v>
      </c>
      <c r="N84" s="28"/>
    </row>
    <row r="85" spans="1:14" ht="15" customHeight="1" x14ac:dyDescent="0.2">
      <c r="A85" s="123" t="s">
        <v>47</v>
      </c>
      <c r="B85" s="17" t="s">
        <v>51</v>
      </c>
      <c r="C85" s="207">
        <v>2.6</v>
      </c>
      <c r="D85" s="178">
        <f>(C85/226.9/12)*100</f>
        <v>9.5489936829734084E-2</v>
      </c>
      <c r="E85" s="362">
        <v>5.9</v>
      </c>
      <c r="F85" s="56">
        <f>(E85/226.9/12)*100</f>
        <v>0.21668870280593505</v>
      </c>
      <c r="G85" s="180">
        <f>E85/4-0.2</f>
        <v>1.2750000000000001</v>
      </c>
      <c r="H85" s="180">
        <f>E85/4+0.1</f>
        <v>1.5750000000000002</v>
      </c>
      <c r="I85" s="56">
        <f>E85/4</f>
        <v>1.4750000000000001</v>
      </c>
      <c r="J85" s="180">
        <f>E85/4</f>
        <v>1.4750000000000001</v>
      </c>
      <c r="K85" s="179">
        <f>G85+H85+I85</f>
        <v>4.3250000000000011</v>
      </c>
      <c r="L85" s="207">
        <f>(K85/226.9/9)*100</f>
        <v>0.21179178296851284</v>
      </c>
      <c r="M85" s="347">
        <v>0.6</v>
      </c>
      <c r="N85" s="178">
        <f>M85-E85</f>
        <v>-5.3000000000000007</v>
      </c>
    </row>
    <row r="86" spans="1:14" ht="12" customHeight="1" x14ac:dyDescent="0.2">
      <c r="A86" s="123"/>
      <c r="B86" s="2" t="s">
        <v>61</v>
      </c>
      <c r="C86" s="62"/>
      <c r="D86" s="22"/>
      <c r="E86" s="78"/>
      <c r="F86" s="34"/>
      <c r="G86" s="149"/>
      <c r="H86" s="9"/>
      <c r="I86" s="250"/>
      <c r="J86" s="149"/>
      <c r="K86" s="166"/>
      <c r="L86" s="150"/>
      <c r="M86" s="324"/>
      <c r="N86" s="15"/>
    </row>
    <row r="87" spans="1:14" ht="14.25" customHeight="1" x14ac:dyDescent="0.2">
      <c r="A87" s="123"/>
      <c r="B87" s="2" t="s">
        <v>164</v>
      </c>
      <c r="C87" s="62"/>
      <c r="D87" s="22"/>
      <c r="E87" s="78"/>
      <c r="F87" s="34"/>
      <c r="G87" s="149"/>
      <c r="H87" s="9"/>
      <c r="I87" s="14"/>
      <c r="J87" s="149"/>
      <c r="K87" s="173"/>
      <c r="L87" s="152"/>
      <c r="M87" s="331"/>
      <c r="N87" s="15"/>
    </row>
    <row r="88" spans="1:14" ht="12" customHeight="1" x14ac:dyDescent="0.2">
      <c r="A88" s="123"/>
      <c r="B88" s="3" t="s">
        <v>38</v>
      </c>
      <c r="C88" s="62"/>
      <c r="D88" s="22"/>
      <c r="E88" s="78">
        <f>E89+E90+E91+E92+E93</f>
        <v>3.6719999999999997</v>
      </c>
      <c r="F88" s="34">
        <f>(E88/226.9/12)*100</f>
        <v>0.13486117232260905</v>
      </c>
      <c r="G88" s="221">
        <v>0.8</v>
      </c>
      <c r="H88" s="221">
        <v>1</v>
      </c>
      <c r="I88" s="196">
        <v>1</v>
      </c>
      <c r="J88" s="221">
        <f>E88/4</f>
        <v>0.91799999999999993</v>
      </c>
      <c r="K88" s="220">
        <f>G88+H88+I88</f>
        <v>2.8</v>
      </c>
      <c r="L88" s="62">
        <f>(K88/226.9/9)*100</f>
        <v>0.13711375544782331</v>
      </c>
      <c r="M88" s="336">
        <f>M89+M90+M91+M92+M93</f>
        <v>0.6</v>
      </c>
      <c r="N88" s="15"/>
    </row>
    <row r="89" spans="1:14" ht="14.25" customHeight="1" x14ac:dyDescent="0.2">
      <c r="A89" s="123"/>
      <c r="B89" s="124" t="s">
        <v>39</v>
      </c>
      <c r="C89" s="62"/>
      <c r="D89" s="22"/>
      <c r="E89" s="243">
        <v>2.2999999999999998</v>
      </c>
      <c r="F89" s="133">
        <f>(E89/226.9/12)*100</f>
        <v>8.4471867195533998E-2</v>
      </c>
      <c r="G89" s="32">
        <f>E89/4-0.1</f>
        <v>0.47499999999999998</v>
      </c>
      <c r="H89" s="32">
        <f>E89/4</f>
        <v>0.57499999999999996</v>
      </c>
      <c r="I89" s="7">
        <f>E89/4</f>
        <v>0.57499999999999996</v>
      </c>
      <c r="J89" s="32">
        <f>E89/4</f>
        <v>0.57499999999999996</v>
      </c>
      <c r="K89" s="132">
        <f>G89+H89+I89</f>
        <v>1.6249999999999998</v>
      </c>
      <c r="L89" s="127">
        <f>(K89/226.9/9)*100</f>
        <v>7.9574947358111742E-2</v>
      </c>
      <c r="M89" s="335"/>
      <c r="N89" s="15"/>
    </row>
    <row r="90" spans="1:14" ht="12.75" customHeight="1" x14ac:dyDescent="0.2">
      <c r="A90" s="123"/>
      <c r="B90" s="124" t="s">
        <v>40</v>
      </c>
      <c r="C90" s="62"/>
      <c r="D90" s="22"/>
      <c r="E90" s="243">
        <v>0.3</v>
      </c>
      <c r="F90" s="133">
        <f>(E90/226.9/12)*100</f>
        <v>1.1018069634200087E-2</v>
      </c>
      <c r="G90" s="32">
        <f>E90/4-0.1</f>
        <v>-2.5000000000000008E-2</v>
      </c>
      <c r="H90" s="32">
        <f>E90/4</f>
        <v>7.4999999999999997E-2</v>
      </c>
      <c r="I90" s="7">
        <f>E90/4</f>
        <v>7.4999999999999997E-2</v>
      </c>
      <c r="J90" s="32">
        <f>E90/4</f>
        <v>7.4999999999999997E-2</v>
      </c>
      <c r="K90" s="81">
        <f>G90+H90+I90</f>
        <v>0.12499999999999999</v>
      </c>
      <c r="L90" s="127">
        <f>(K90/226.9/9)*100</f>
        <v>6.1211497967778253E-3</v>
      </c>
      <c r="M90" s="324"/>
      <c r="N90" s="15"/>
    </row>
    <row r="91" spans="1:14" ht="13.5" customHeight="1" x14ac:dyDescent="0.2">
      <c r="A91" s="123"/>
      <c r="B91" s="124" t="s">
        <v>41</v>
      </c>
      <c r="C91" s="62"/>
      <c r="D91" s="22"/>
      <c r="E91" s="243">
        <f>(E89+E90)*22%</f>
        <v>0.57199999999999995</v>
      </c>
      <c r="F91" s="133">
        <f>(E91/226.9/12)*100</f>
        <v>2.1007786102541497E-2</v>
      </c>
      <c r="G91" s="32">
        <f>E91/4+0.1</f>
        <v>0.24299999999999999</v>
      </c>
      <c r="H91" s="32">
        <f>E91/4+0.1</f>
        <v>0.24299999999999999</v>
      </c>
      <c r="I91" s="7">
        <f>E91/4</f>
        <v>0.14299999999999999</v>
      </c>
      <c r="J91" s="32">
        <f>E91/4</f>
        <v>0.14299999999999999</v>
      </c>
      <c r="K91" s="132">
        <f>G91+H91+I91</f>
        <v>0.629</v>
      </c>
      <c r="L91" s="127">
        <f>(K91/226.9/9)*100</f>
        <v>3.0801625777386023E-2</v>
      </c>
      <c r="M91" s="328"/>
      <c r="N91" s="15"/>
    </row>
    <row r="92" spans="1:14" ht="12" customHeight="1" x14ac:dyDescent="0.2">
      <c r="A92" s="123"/>
      <c r="B92" s="124" t="s">
        <v>42</v>
      </c>
      <c r="C92" s="62"/>
      <c r="D92" s="22"/>
      <c r="E92" s="243">
        <v>0.5</v>
      </c>
      <c r="F92" s="133">
        <f>(E92/226.9/12)*100</f>
        <v>1.8363449390333481E-2</v>
      </c>
      <c r="G92" s="32">
        <f>E92/4</f>
        <v>0.125</v>
      </c>
      <c r="H92" s="32">
        <f>E92/4</f>
        <v>0.125</v>
      </c>
      <c r="I92" s="7">
        <v>0.2</v>
      </c>
      <c r="J92" s="32">
        <f>E92/4</f>
        <v>0.125</v>
      </c>
      <c r="K92" s="81">
        <f>G92+H92+I92</f>
        <v>0.45</v>
      </c>
      <c r="L92" s="127">
        <f>(K92/226.9/9)*100</f>
        <v>2.2036139268400177E-2</v>
      </c>
      <c r="M92" s="328">
        <v>0.6</v>
      </c>
      <c r="N92" s="15"/>
    </row>
    <row r="93" spans="1:14" ht="14.25" customHeight="1" x14ac:dyDescent="0.2">
      <c r="A93" s="123"/>
      <c r="B93" s="124" t="s">
        <v>43</v>
      </c>
      <c r="C93" s="62"/>
      <c r="D93" s="22"/>
      <c r="E93" s="243"/>
      <c r="F93" s="133"/>
      <c r="G93" s="32"/>
      <c r="H93" s="32"/>
      <c r="I93" s="7"/>
      <c r="J93" s="32"/>
      <c r="K93" s="132"/>
      <c r="L93" s="150"/>
      <c r="M93" s="324"/>
      <c r="N93" s="15"/>
    </row>
    <row r="94" spans="1:14" ht="13.5" customHeight="1" thickBot="1" x14ac:dyDescent="0.25">
      <c r="A94" s="123"/>
      <c r="B94" s="363" t="s">
        <v>26</v>
      </c>
      <c r="C94" s="18"/>
      <c r="D94" s="19"/>
      <c r="E94" s="366">
        <v>2.2000000000000002</v>
      </c>
      <c r="F94" s="273">
        <v>0.1</v>
      </c>
      <c r="G94" s="368">
        <v>0.5</v>
      </c>
      <c r="H94" s="368">
        <v>0.6</v>
      </c>
      <c r="I94" s="380">
        <v>0.5</v>
      </c>
      <c r="J94" s="368">
        <v>0.6</v>
      </c>
      <c r="K94" s="381">
        <f t="shared" ref="K94:K106" si="17">G94+H94+I94</f>
        <v>1.6</v>
      </c>
      <c r="L94" s="18">
        <f t="shared" ref="L94:L106" si="18">(K94/226.9/9)*100</f>
        <v>7.8350717398756195E-2</v>
      </c>
      <c r="M94" s="344"/>
      <c r="N94" s="28"/>
    </row>
    <row r="95" spans="1:14" ht="17.25" customHeight="1" thickBot="1" x14ac:dyDescent="0.25">
      <c r="A95" s="227"/>
      <c r="B95" s="382" t="s">
        <v>62</v>
      </c>
      <c r="C95" s="355">
        <f>C49+C56+C57+C58+C67+C68+C77+C85</f>
        <v>1744.5166021765417</v>
      </c>
      <c r="D95" s="383">
        <f t="shared" ref="D95:D106" si="19">(C95/226.9/12)*100</f>
        <v>64.070684669330888</v>
      </c>
      <c r="E95" s="384">
        <f>E49+E56+E57+E58+E67+E68+E77+E85</f>
        <v>1757.7816800000001</v>
      </c>
      <c r="F95" s="385">
        <f t="shared" ref="F95:F106" si="20">(E95/226.9/12)*100</f>
        <v>64.557869839870719</v>
      </c>
      <c r="G95" s="386">
        <v>429.5</v>
      </c>
      <c r="H95" s="385">
        <v>449.6</v>
      </c>
      <c r="I95" s="386">
        <v>439.6</v>
      </c>
      <c r="J95" s="387">
        <f>J49+J56+J57+J58+J67+J68+J77+J85+0.1</f>
        <v>439.12667000000005</v>
      </c>
      <c r="K95" s="77">
        <f t="shared" si="17"/>
        <v>1318.7</v>
      </c>
      <c r="L95" s="279">
        <f t="shared" si="18"/>
        <v>64.57568189608736</v>
      </c>
      <c r="M95" s="388">
        <f>M49+M56+M57+M58+M67+M68+M77+M85</f>
        <v>1673.2999999999997</v>
      </c>
      <c r="N95" s="23">
        <f>M95-E95</f>
        <v>-84.481680000000324</v>
      </c>
    </row>
    <row r="96" spans="1:14" ht="12.75" x14ac:dyDescent="0.2">
      <c r="A96" s="145" t="s">
        <v>50</v>
      </c>
      <c r="B96" s="389" t="s">
        <v>63</v>
      </c>
      <c r="C96" s="390">
        <f>C97+C98</f>
        <v>10.4</v>
      </c>
      <c r="D96" s="24">
        <f t="shared" si="19"/>
        <v>0.38195974731893634</v>
      </c>
      <c r="E96" s="391">
        <f>E97+E98</f>
        <v>10.3</v>
      </c>
      <c r="F96" s="12">
        <f t="shared" si="20"/>
        <v>0.37828705744086971</v>
      </c>
      <c r="G96" s="38">
        <v>2.5</v>
      </c>
      <c r="H96" s="12">
        <f>E96/4</f>
        <v>2.5750000000000002</v>
      </c>
      <c r="I96" s="41">
        <f>E96/4</f>
        <v>2.5750000000000002</v>
      </c>
      <c r="J96" s="38">
        <f>E96/4</f>
        <v>2.5750000000000002</v>
      </c>
      <c r="K96" s="179">
        <f t="shared" si="17"/>
        <v>7.65</v>
      </c>
      <c r="L96" s="207">
        <f t="shared" si="18"/>
        <v>0.37461436756280303</v>
      </c>
      <c r="M96" s="327">
        <f>M97+M98</f>
        <v>10.8</v>
      </c>
      <c r="N96" s="178">
        <f>M96-E96</f>
        <v>0.5</v>
      </c>
    </row>
    <row r="97" spans="1:14" ht="12.75" x14ac:dyDescent="0.2">
      <c r="A97" s="123"/>
      <c r="B97" s="252" t="s">
        <v>64</v>
      </c>
      <c r="C97" s="61">
        <v>2.4</v>
      </c>
      <c r="D97" s="60">
        <f t="shared" si="19"/>
        <v>8.8144557073600693E-2</v>
      </c>
      <c r="E97" s="253">
        <v>1.4</v>
      </c>
      <c r="F97" s="254">
        <f t="shared" si="20"/>
        <v>5.1417658292933738E-2</v>
      </c>
      <c r="G97" s="159">
        <v>0.3</v>
      </c>
      <c r="H97" s="163">
        <v>0.4</v>
      </c>
      <c r="I97" s="156">
        <f>E97/4</f>
        <v>0.35</v>
      </c>
      <c r="J97" s="159">
        <v>0.3</v>
      </c>
      <c r="K97" s="132">
        <f t="shared" si="17"/>
        <v>1.0499999999999998</v>
      </c>
      <c r="L97" s="127">
        <f t="shared" si="18"/>
        <v>5.1417658292933738E-2</v>
      </c>
      <c r="M97" s="342">
        <v>2.2999999999999998</v>
      </c>
      <c r="N97" s="15"/>
    </row>
    <row r="98" spans="1:14" ht="13.5" thickBot="1" x14ac:dyDescent="0.25">
      <c r="A98" s="123"/>
      <c r="B98" s="392" t="s">
        <v>65</v>
      </c>
      <c r="C98" s="393">
        <v>8</v>
      </c>
      <c r="D98" s="394">
        <f t="shared" si="19"/>
        <v>0.2938151902453357</v>
      </c>
      <c r="E98" s="395">
        <v>8.9</v>
      </c>
      <c r="F98" s="396">
        <f t="shared" si="20"/>
        <v>0.32686939914793595</v>
      </c>
      <c r="G98" s="397">
        <v>2.2000000000000002</v>
      </c>
      <c r="H98" s="398">
        <v>2.2000000000000002</v>
      </c>
      <c r="I98" s="399">
        <f>E98/4</f>
        <v>2.2250000000000001</v>
      </c>
      <c r="J98" s="397">
        <v>2.2999999999999998</v>
      </c>
      <c r="K98" s="139">
        <f t="shared" si="17"/>
        <v>6.625</v>
      </c>
      <c r="L98" s="400">
        <f t="shared" si="18"/>
        <v>0.32442093922922483</v>
      </c>
      <c r="M98" s="401">
        <v>8.5</v>
      </c>
      <c r="N98" s="28"/>
    </row>
    <row r="99" spans="1:14" ht="13.5" thickBot="1" x14ac:dyDescent="0.25">
      <c r="A99" s="255"/>
      <c r="B99" s="382" t="s">
        <v>66</v>
      </c>
      <c r="C99" s="279">
        <f>C95+C96</f>
        <v>1754.9166021765418</v>
      </c>
      <c r="D99" s="23">
        <f t="shared" si="19"/>
        <v>64.452644416649846</v>
      </c>
      <c r="E99" s="402">
        <f>E95+E96</f>
        <v>1768.08168</v>
      </c>
      <c r="F99" s="36">
        <f t="shared" si="20"/>
        <v>64.936156897311591</v>
      </c>
      <c r="G99" s="120">
        <f>G95+G96</f>
        <v>432</v>
      </c>
      <c r="H99" s="36">
        <f>H95+H96</f>
        <v>452.17500000000001</v>
      </c>
      <c r="I99" s="120">
        <f>I95+I96</f>
        <v>442.17500000000001</v>
      </c>
      <c r="J99" s="53">
        <f>J95+J96</f>
        <v>441.70167000000004</v>
      </c>
      <c r="K99" s="77">
        <f t="shared" si="17"/>
        <v>1326.35</v>
      </c>
      <c r="L99" s="279">
        <f t="shared" si="18"/>
        <v>64.950296263650159</v>
      </c>
      <c r="M99" s="345">
        <f>M95+M96</f>
        <v>1684.0999999999997</v>
      </c>
      <c r="N99" s="23">
        <f>M99-E99</f>
        <v>-83.981680000000324</v>
      </c>
    </row>
    <row r="100" spans="1:14" ht="13.5" thickBot="1" x14ac:dyDescent="0.25">
      <c r="A100" s="256" t="s">
        <v>60</v>
      </c>
      <c r="B100" s="382" t="s">
        <v>67</v>
      </c>
      <c r="C100" s="279">
        <v>630.20000000000005</v>
      </c>
      <c r="D100" s="23">
        <f t="shared" si="19"/>
        <v>23.145291611576322</v>
      </c>
      <c r="E100" s="402">
        <v>486.5</v>
      </c>
      <c r="F100" s="36">
        <f t="shared" si="20"/>
        <v>17.867636256794476</v>
      </c>
      <c r="G100" s="53">
        <v>133.6</v>
      </c>
      <c r="H100" s="36">
        <v>115.6</v>
      </c>
      <c r="I100" s="120">
        <v>115.6</v>
      </c>
      <c r="J100" s="53">
        <v>121.7</v>
      </c>
      <c r="K100" s="77">
        <f t="shared" si="17"/>
        <v>364.79999999999995</v>
      </c>
      <c r="L100" s="279">
        <f t="shared" si="18"/>
        <v>17.863963566916407</v>
      </c>
      <c r="M100" s="356">
        <v>538</v>
      </c>
      <c r="N100" s="23">
        <f>M100-E100</f>
        <v>51.5</v>
      </c>
    </row>
    <row r="101" spans="1:14" ht="17.25" customHeight="1" x14ac:dyDescent="0.2">
      <c r="A101" s="257" t="s">
        <v>149</v>
      </c>
      <c r="B101" s="389" t="s">
        <v>68</v>
      </c>
      <c r="C101" s="207">
        <f>C102+C105+C106+C103+C104</f>
        <v>1617.3733978234584</v>
      </c>
      <c r="D101" s="178">
        <f t="shared" si="19"/>
        <v>59.401109072405553</v>
      </c>
      <c r="E101" s="362">
        <f>E102+E105+E106+E103+E104</f>
        <v>1695.4</v>
      </c>
      <c r="F101" s="56">
        <f t="shared" si="20"/>
        <v>62.266784192742762</v>
      </c>
      <c r="G101" s="57">
        <f>G102+G105+G106+G103+G104</f>
        <v>430.5</v>
      </c>
      <c r="H101" s="35">
        <f>H102+H105+H106+H103+H104</f>
        <v>404.47500000000002</v>
      </c>
      <c r="I101" s="57">
        <f>I102+I105+I106+I103+I104</f>
        <v>447.5</v>
      </c>
      <c r="J101" s="180">
        <f>J102+J105+J106+J103+J104</f>
        <v>412.9</v>
      </c>
      <c r="K101" s="76">
        <f t="shared" si="17"/>
        <v>1282.4749999999999</v>
      </c>
      <c r="L101" s="207">
        <f t="shared" si="18"/>
        <v>62.801772684981138</v>
      </c>
      <c r="M101" s="332">
        <f>M102+M105+M106+M103+M104</f>
        <v>1623.8</v>
      </c>
      <c r="N101" s="178">
        <f>M101-E101</f>
        <v>-71.600000000000136</v>
      </c>
    </row>
    <row r="102" spans="1:14" ht="12.75" customHeight="1" x14ac:dyDescent="0.2">
      <c r="A102" s="227"/>
      <c r="B102" s="252" t="s">
        <v>69</v>
      </c>
      <c r="C102" s="127">
        <v>648.20000000000005</v>
      </c>
      <c r="D102" s="26">
        <f t="shared" si="19"/>
        <v>23.806375789628323</v>
      </c>
      <c r="E102" s="253">
        <v>905.2</v>
      </c>
      <c r="F102" s="254">
        <f t="shared" si="20"/>
        <v>33.245188776259731</v>
      </c>
      <c r="G102" s="161">
        <v>221.6</v>
      </c>
      <c r="H102" s="163">
        <v>225.1</v>
      </c>
      <c r="I102" s="158">
        <v>227.3</v>
      </c>
      <c r="J102" s="161">
        <v>231.2</v>
      </c>
      <c r="K102" s="81">
        <f t="shared" si="17"/>
        <v>674</v>
      </c>
      <c r="L102" s="127">
        <f t="shared" si="18"/>
        <v>33.005239704226042</v>
      </c>
      <c r="M102" s="342">
        <v>856.6</v>
      </c>
      <c r="N102" s="15"/>
    </row>
    <row r="103" spans="1:14" ht="12" customHeight="1" x14ac:dyDescent="0.2">
      <c r="A103" s="227"/>
      <c r="B103" s="252" t="s">
        <v>70</v>
      </c>
      <c r="C103" s="127">
        <v>89</v>
      </c>
      <c r="D103" s="26">
        <f t="shared" si="19"/>
        <v>3.2686939914793594</v>
      </c>
      <c r="E103" s="253">
        <v>75.8</v>
      </c>
      <c r="F103" s="254">
        <f t="shared" si="20"/>
        <v>2.7838989275745556</v>
      </c>
      <c r="G103" s="161">
        <v>18.399999999999999</v>
      </c>
      <c r="H103" s="157">
        <v>18.8</v>
      </c>
      <c r="I103" s="158">
        <v>19.100000000000001</v>
      </c>
      <c r="J103" s="161">
        <v>19.5</v>
      </c>
      <c r="K103" s="132">
        <f t="shared" si="17"/>
        <v>56.300000000000004</v>
      </c>
      <c r="L103" s="127">
        <f t="shared" si="18"/>
        <v>2.7569658684687335</v>
      </c>
      <c r="M103" s="322">
        <v>61.8</v>
      </c>
      <c r="N103" s="15"/>
    </row>
    <row r="104" spans="1:14" ht="13.5" customHeight="1" x14ac:dyDescent="0.2">
      <c r="A104" s="227"/>
      <c r="B104" s="252" t="s">
        <v>71</v>
      </c>
      <c r="C104" s="127">
        <v>234.3</v>
      </c>
      <c r="D104" s="26">
        <f t="shared" si="19"/>
        <v>8.605112384310269</v>
      </c>
      <c r="E104" s="253">
        <v>215.8</v>
      </c>
      <c r="F104" s="254">
        <f t="shared" si="20"/>
        <v>7.9256647568679295</v>
      </c>
      <c r="G104" s="161">
        <v>52.8</v>
      </c>
      <c r="H104" s="157">
        <v>53.6</v>
      </c>
      <c r="I104" s="158">
        <v>54.2</v>
      </c>
      <c r="J104" s="161">
        <v>55.2</v>
      </c>
      <c r="K104" s="81">
        <f t="shared" si="17"/>
        <v>160.60000000000002</v>
      </c>
      <c r="L104" s="127">
        <f t="shared" si="18"/>
        <v>7.864453258900153</v>
      </c>
      <c r="M104" s="322">
        <v>188.5</v>
      </c>
      <c r="N104" s="15"/>
    </row>
    <row r="105" spans="1:14" ht="12.75" customHeight="1" x14ac:dyDescent="0.2">
      <c r="A105" s="227"/>
      <c r="B105" s="252" t="s">
        <v>72</v>
      </c>
      <c r="C105" s="127">
        <v>35.700000000000003</v>
      </c>
      <c r="D105" s="26">
        <f t="shared" si="19"/>
        <v>1.3111502864698108</v>
      </c>
      <c r="E105" s="253">
        <v>70.7</v>
      </c>
      <c r="F105" s="254">
        <f t="shared" si="20"/>
        <v>2.5965917437931543</v>
      </c>
      <c r="G105" s="161">
        <v>30.8</v>
      </c>
      <c r="H105" s="157"/>
      <c r="I105" s="158">
        <v>39.9</v>
      </c>
      <c r="J105" s="161"/>
      <c r="K105" s="132">
        <f t="shared" si="17"/>
        <v>70.7</v>
      </c>
      <c r="L105" s="127">
        <f t="shared" si="18"/>
        <v>3.4621223250575395</v>
      </c>
      <c r="M105" s="322">
        <v>87.1</v>
      </c>
      <c r="N105" s="15"/>
    </row>
    <row r="106" spans="1:14" ht="12.75" customHeight="1" x14ac:dyDescent="0.2">
      <c r="A106" s="227"/>
      <c r="B106" s="3" t="s">
        <v>26</v>
      </c>
      <c r="C106" s="27">
        <f>(C102+C103)*C162%</f>
        <v>610.17339782345834</v>
      </c>
      <c r="D106" s="15">
        <f t="shared" si="19"/>
        <v>22.409776620517789</v>
      </c>
      <c r="E106" s="220">
        <v>427.9</v>
      </c>
      <c r="F106" s="34">
        <f t="shared" si="20"/>
        <v>15.71543998824739</v>
      </c>
      <c r="G106" s="221">
        <v>106.9</v>
      </c>
      <c r="H106" s="196">
        <f>E106/4</f>
        <v>106.97499999999999</v>
      </c>
      <c r="I106" s="222">
        <v>107</v>
      </c>
      <c r="J106" s="221">
        <v>107</v>
      </c>
      <c r="K106" s="220">
        <f t="shared" si="17"/>
        <v>320.875</v>
      </c>
      <c r="L106" s="62">
        <f t="shared" si="18"/>
        <v>15.712991528328683</v>
      </c>
      <c r="M106" s="339">
        <v>429.8</v>
      </c>
      <c r="N106" s="15"/>
    </row>
    <row r="107" spans="1:14" ht="13.5" customHeight="1" thickBot="1" x14ac:dyDescent="0.25">
      <c r="A107" s="257"/>
      <c r="B107" s="363"/>
      <c r="C107" s="19"/>
      <c r="D107" s="404"/>
      <c r="E107" s="75"/>
      <c r="F107" s="33"/>
      <c r="G107" s="143"/>
      <c r="H107" s="142"/>
      <c r="I107" s="141"/>
      <c r="J107" s="143"/>
      <c r="K107" s="144"/>
      <c r="L107" s="400"/>
      <c r="M107" s="329"/>
      <c r="N107" s="28"/>
    </row>
    <row r="108" spans="1:14" ht="12.75" x14ac:dyDescent="0.2">
      <c r="A108" s="259" t="s">
        <v>150</v>
      </c>
      <c r="B108" s="4" t="s">
        <v>144</v>
      </c>
      <c r="C108" s="403">
        <f>C109+C110+C116</f>
        <v>454</v>
      </c>
      <c r="D108" s="22">
        <f>(C108/226.9/12)*100</f>
        <v>16.674012046422799</v>
      </c>
      <c r="E108" s="70">
        <f>E109+E110+E116+E134</f>
        <v>528.9</v>
      </c>
      <c r="F108" s="146">
        <f>(E108/226.9/12)*100</f>
        <v>19.424856765094756</v>
      </c>
      <c r="G108" s="39">
        <f>G109+G110+G116+G134</f>
        <v>136.625</v>
      </c>
      <c r="H108" s="146">
        <f>H109+H110+H116+H134</f>
        <v>190.02500000000001</v>
      </c>
      <c r="I108" s="251">
        <v>113.2</v>
      </c>
      <c r="J108" s="39">
        <v>89.1</v>
      </c>
      <c r="K108" s="70">
        <f>G108+H108+I108</f>
        <v>439.84999999999997</v>
      </c>
      <c r="L108" s="63">
        <f>(K108/226.9/9)*100</f>
        <v>21.539101904901813</v>
      </c>
      <c r="M108" s="330">
        <f>M109+M110+M116+M134</f>
        <v>395.1</v>
      </c>
      <c r="N108" s="22">
        <f>M108-E108</f>
        <v>-133.79999999999995</v>
      </c>
    </row>
    <row r="109" spans="1:14" ht="12.75" x14ac:dyDescent="0.2">
      <c r="A109" s="260" t="s">
        <v>134</v>
      </c>
      <c r="B109" s="261" t="s">
        <v>15</v>
      </c>
      <c r="C109" s="26"/>
      <c r="D109" s="262"/>
      <c r="E109" s="162"/>
      <c r="F109" s="7"/>
      <c r="G109" s="149"/>
      <c r="H109" s="9"/>
      <c r="I109" s="11"/>
      <c r="J109" s="149"/>
      <c r="K109" s="219"/>
      <c r="L109" s="152"/>
      <c r="M109" s="328"/>
      <c r="N109" s="15"/>
    </row>
    <row r="110" spans="1:14" ht="12.75" x14ac:dyDescent="0.2">
      <c r="A110" s="260" t="s">
        <v>134</v>
      </c>
      <c r="B110" s="252" t="s">
        <v>145</v>
      </c>
      <c r="C110" s="26"/>
      <c r="D110" s="262"/>
      <c r="E110" s="162"/>
      <c r="F110" s="7"/>
      <c r="G110" s="149"/>
      <c r="H110" s="9"/>
      <c r="I110" s="11"/>
      <c r="J110" s="149"/>
      <c r="K110" s="151"/>
      <c r="L110" s="152"/>
      <c r="M110" s="324"/>
      <c r="N110" s="15"/>
    </row>
    <row r="111" spans="1:14" ht="12.75" x14ac:dyDescent="0.2">
      <c r="A111" s="260"/>
      <c r="B111" s="252" t="s">
        <v>69</v>
      </c>
      <c r="C111" s="26"/>
      <c r="D111" s="262"/>
      <c r="E111" s="162"/>
      <c r="F111" s="7"/>
      <c r="G111" s="149"/>
      <c r="H111" s="9"/>
      <c r="I111" s="11"/>
      <c r="J111" s="149"/>
      <c r="K111" s="151"/>
      <c r="L111" s="152"/>
      <c r="M111" s="324"/>
      <c r="N111" s="15"/>
    </row>
    <row r="112" spans="1:14" ht="12.75" x14ac:dyDescent="0.2">
      <c r="A112" s="260"/>
      <c r="B112" s="252" t="s">
        <v>70</v>
      </c>
      <c r="C112" s="26"/>
      <c r="D112" s="262"/>
      <c r="E112" s="162"/>
      <c r="F112" s="7"/>
      <c r="G112" s="149"/>
      <c r="H112" s="9"/>
      <c r="I112" s="11"/>
      <c r="J112" s="149"/>
      <c r="K112" s="151"/>
      <c r="L112" s="152"/>
      <c r="M112" s="324"/>
      <c r="N112" s="15"/>
    </row>
    <row r="113" spans="1:14" ht="12.75" x14ac:dyDescent="0.2">
      <c r="A113" s="260"/>
      <c r="B113" s="252" t="s">
        <v>71</v>
      </c>
      <c r="C113" s="26"/>
      <c r="D113" s="262"/>
      <c r="E113" s="162"/>
      <c r="F113" s="7"/>
      <c r="G113" s="149"/>
      <c r="H113" s="9"/>
      <c r="I113" s="11"/>
      <c r="J113" s="149"/>
      <c r="K113" s="151"/>
      <c r="L113" s="152"/>
      <c r="M113" s="324"/>
      <c r="N113" s="15"/>
    </row>
    <row r="114" spans="1:14" ht="12.75" x14ac:dyDescent="0.2">
      <c r="A114" s="260"/>
      <c r="B114" s="252" t="s">
        <v>72</v>
      </c>
      <c r="C114" s="26"/>
      <c r="D114" s="262"/>
      <c r="E114" s="162"/>
      <c r="F114" s="7"/>
      <c r="G114" s="149"/>
      <c r="H114" s="9"/>
      <c r="I114" s="11"/>
      <c r="J114" s="149"/>
      <c r="K114" s="151"/>
      <c r="L114" s="152"/>
      <c r="M114" s="324"/>
      <c r="N114" s="15"/>
    </row>
    <row r="115" spans="1:14" ht="12.75" x14ac:dyDescent="0.2">
      <c r="A115" s="260"/>
      <c r="B115" s="263" t="s">
        <v>146</v>
      </c>
      <c r="C115" s="26"/>
      <c r="D115" s="262"/>
      <c r="E115" s="162"/>
      <c r="F115" s="7"/>
      <c r="G115" s="149"/>
      <c r="H115" s="9"/>
      <c r="I115" s="11"/>
      <c r="J115" s="149"/>
      <c r="K115" s="177"/>
      <c r="L115" s="152"/>
      <c r="M115" s="324"/>
      <c r="N115" s="15"/>
    </row>
    <row r="116" spans="1:14" ht="25.5" x14ac:dyDescent="0.2">
      <c r="A116" s="260" t="s">
        <v>134</v>
      </c>
      <c r="B116" s="264" t="s">
        <v>159</v>
      </c>
      <c r="C116" s="148">
        <f>C117+C118+C119</f>
        <v>454</v>
      </c>
      <c r="D116" s="26">
        <f>(C116/226.9/12)*100</f>
        <v>16.674012046422799</v>
      </c>
      <c r="E116" s="81">
        <f>E117+E118+E119</f>
        <v>428.9</v>
      </c>
      <c r="F116" s="133">
        <f>(E116/226.9/12)*100</f>
        <v>15.752166887028057</v>
      </c>
      <c r="G116" s="32">
        <f>G117+G118+G119</f>
        <v>111.625</v>
      </c>
      <c r="H116" s="7">
        <f>H117+H118+H119</f>
        <v>165.02500000000001</v>
      </c>
      <c r="I116" s="8">
        <f>I117+I118+I119</f>
        <v>88.174999999999983</v>
      </c>
      <c r="J116" s="32">
        <f>J117+J118+J119</f>
        <v>64.075000000000003</v>
      </c>
      <c r="K116" s="81">
        <f t="shared" ref="K116:K124" si="21">G116+H116+I116</f>
        <v>364.82499999999993</v>
      </c>
      <c r="L116" s="127">
        <f>(K116/226.9/9)*100</f>
        <v>17.865187796875762</v>
      </c>
      <c r="M116" s="326">
        <f>M117+M118+M119</f>
        <v>294.5</v>
      </c>
      <c r="N116" s="26"/>
    </row>
    <row r="117" spans="1:14" ht="12.75" x14ac:dyDescent="0.2">
      <c r="A117" s="260"/>
      <c r="B117" s="264" t="s">
        <v>177</v>
      </c>
      <c r="C117" s="60">
        <v>93.8</v>
      </c>
      <c r="D117" s="60">
        <f>(C117/226.9/12)*100</f>
        <v>3.444983105626561</v>
      </c>
      <c r="E117" s="162">
        <v>80.2</v>
      </c>
      <c r="F117" s="254">
        <f>(E117/226.9/12)*100</f>
        <v>2.94549728220949</v>
      </c>
      <c r="G117" s="159">
        <v>20.100000000000001</v>
      </c>
      <c r="H117" s="163">
        <f>16+3.5</f>
        <v>19.5</v>
      </c>
      <c r="I117" s="156">
        <f>(E117/4)+4-3.5</f>
        <v>20.55</v>
      </c>
      <c r="J117" s="159">
        <f>E117/4-0.1</f>
        <v>19.95</v>
      </c>
      <c r="K117" s="160">
        <f t="shared" si="21"/>
        <v>60.150000000000006</v>
      </c>
      <c r="L117" s="127">
        <f>(K117/226.9/9)*100</f>
        <v>2.94549728220949</v>
      </c>
      <c r="M117" s="322">
        <v>60.3</v>
      </c>
      <c r="N117" s="60"/>
    </row>
    <row r="118" spans="1:14" ht="12.75" x14ac:dyDescent="0.2">
      <c r="A118" s="260"/>
      <c r="B118" s="264" t="s">
        <v>179</v>
      </c>
      <c r="C118" s="60">
        <v>35.1</v>
      </c>
      <c r="D118" s="60">
        <f>(C118/226.9/12)*100</f>
        <v>1.2891141472014103</v>
      </c>
      <c r="E118" s="162">
        <v>38.5</v>
      </c>
      <c r="F118" s="254">
        <f>(E118/226.9/12)*100</f>
        <v>1.4139856030556779</v>
      </c>
      <c r="G118" s="159">
        <f>E118/4</f>
        <v>9.625</v>
      </c>
      <c r="H118" s="163">
        <f>E118/4</f>
        <v>9.625</v>
      </c>
      <c r="I118" s="156">
        <f>E118/4</f>
        <v>9.625</v>
      </c>
      <c r="J118" s="159">
        <f>E118/4+0.1</f>
        <v>9.7249999999999996</v>
      </c>
      <c r="K118" s="162">
        <f t="shared" si="21"/>
        <v>28.875</v>
      </c>
      <c r="L118" s="127">
        <f>(K118/226.9/9)*100</f>
        <v>1.4139856030556779</v>
      </c>
      <c r="M118" s="322"/>
      <c r="N118" s="60"/>
    </row>
    <row r="119" spans="1:14" ht="12.75" x14ac:dyDescent="0.2">
      <c r="A119" s="260"/>
      <c r="B119" s="153" t="s">
        <v>180</v>
      </c>
      <c r="C119" s="148">
        <f>C120+C121+C122+C123+C124+C125+C126+C127+C128+C129+C130+C133</f>
        <v>325.10000000000002</v>
      </c>
      <c r="D119" s="26">
        <f>(C119/226.9/12)*100</f>
        <v>11.939914793594831</v>
      </c>
      <c r="E119" s="81">
        <f>E120+E121+E122+E123+E124+E125+E126+E127+E128+E129+E130+E133+E131+E132</f>
        <v>310.2</v>
      </c>
      <c r="F119" s="133">
        <f>(E119/226.9/12)*100</f>
        <v>11.392684001762891</v>
      </c>
      <c r="G119" s="32">
        <f>G120+G121+G122+G123+G124+G125+G126+G127+G128+G129+G130+G133+G131</f>
        <v>81.899999999999991</v>
      </c>
      <c r="H119" s="7">
        <f>H120+H121+H122+H123+H124+H125+H126+H127+H128+H129+H130+H133+H131+H132</f>
        <v>135.9</v>
      </c>
      <c r="I119" s="8">
        <f>I120+I121+I122+I123+I124+I125+I126+I127+I128+I129+I130+I133+I131</f>
        <v>57.999999999999986</v>
      </c>
      <c r="J119" s="32">
        <f>J120+J121+J122+J123+J124+J125+J126+J127+J128+J129+J130+J133+J131</f>
        <v>34.400000000000006</v>
      </c>
      <c r="K119" s="132">
        <f t="shared" si="21"/>
        <v>275.8</v>
      </c>
      <c r="L119" s="127">
        <f>(K119/226.9/9)*100</f>
        <v>13.505704911610596</v>
      </c>
      <c r="M119" s="326">
        <f>M120+M121+M122+M123+M124+M125+M126+M127+M128+M129+M130+M133+M131+M132</f>
        <v>234.20000000000002</v>
      </c>
      <c r="N119" s="26"/>
    </row>
    <row r="120" spans="1:14" ht="12.75" x14ac:dyDescent="0.2">
      <c r="A120" s="260"/>
      <c r="B120" s="264" t="s">
        <v>165</v>
      </c>
      <c r="C120" s="26">
        <v>52.4</v>
      </c>
      <c r="D120" s="262"/>
      <c r="E120" s="162">
        <v>45.8</v>
      </c>
      <c r="F120" s="7"/>
      <c r="G120" s="159">
        <v>25</v>
      </c>
      <c r="H120" s="163"/>
      <c r="I120" s="156"/>
      <c r="J120" s="159">
        <v>20.8</v>
      </c>
      <c r="K120" s="162">
        <f t="shared" si="21"/>
        <v>25</v>
      </c>
      <c r="L120" s="265"/>
      <c r="M120" s="322">
        <v>45.8</v>
      </c>
      <c r="N120" s="60"/>
    </row>
    <row r="121" spans="1:14" ht="12.75" x14ac:dyDescent="0.2">
      <c r="A121" s="260"/>
      <c r="B121" s="264" t="s">
        <v>166</v>
      </c>
      <c r="C121" s="26">
        <v>13</v>
      </c>
      <c r="D121" s="262"/>
      <c r="E121" s="162">
        <v>13.6</v>
      </c>
      <c r="F121" s="7"/>
      <c r="G121" s="159"/>
      <c r="H121" s="163">
        <v>5.4</v>
      </c>
      <c r="I121" s="156">
        <v>8.1999999999999993</v>
      </c>
      <c r="J121" s="159"/>
      <c r="K121" s="160">
        <f t="shared" si="21"/>
        <v>13.6</v>
      </c>
      <c r="L121" s="265"/>
      <c r="M121" s="322">
        <v>13.6</v>
      </c>
      <c r="N121" s="60"/>
    </row>
    <row r="122" spans="1:14" ht="12.75" x14ac:dyDescent="0.2">
      <c r="A122" s="260"/>
      <c r="B122" s="264" t="s">
        <v>181</v>
      </c>
      <c r="C122" s="26">
        <v>27.5</v>
      </c>
      <c r="D122" s="262"/>
      <c r="E122" s="162">
        <v>21.8</v>
      </c>
      <c r="F122" s="7"/>
      <c r="G122" s="159">
        <v>0.5</v>
      </c>
      <c r="H122" s="163">
        <v>8.6999999999999993</v>
      </c>
      <c r="I122" s="156">
        <v>9</v>
      </c>
      <c r="J122" s="159">
        <v>3.6</v>
      </c>
      <c r="K122" s="162">
        <f t="shared" si="21"/>
        <v>18.2</v>
      </c>
      <c r="L122" s="265"/>
      <c r="M122" s="322">
        <v>13.8</v>
      </c>
      <c r="N122" s="60"/>
    </row>
    <row r="123" spans="1:14" ht="12.75" x14ac:dyDescent="0.2">
      <c r="A123" s="260"/>
      <c r="B123" s="264" t="s">
        <v>168</v>
      </c>
      <c r="C123" s="26">
        <v>40</v>
      </c>
      <c r="D123" s="262"/>
      <c r="E123" s="162">
        <v>50.3</v>
      </c>
      <c r="F123" s="7"/>
      <c r="G123" s="159">
        <v>8.3000000000000007</v>
      </c>
      <c r="H123" s="163">
        <v>17.8</v>
      </c>
      <c r="I123" s="156">
        <v>18.399999999999999</v>
      </c>
      <c r="J123" s="159">
        <v>5.8</v>
      </c>
      <c r="K123" s="162">
        <f t="shared" si="21"/>
        <v>44.5</v>
      </c>
      <c r="L123" s="265"/>
      <c r="M123" s="322">
        <v>50.3</v>
      </c>
      <c r="N123" s="60"/>
    </row>
    <row r="124" spans="1:14" ht="12.75" x14ac:dyDescent="0.2">
      <c r="A124" s="260"/>
      <c r="B124" s="264" t="s">
        <v>182</v>
      </c>
      <c r="C124" s="26">
        <v>0.9</v>
      </c>
      <c r="D124" s="262"/>
      <c r="E124" s="162">
        <v>1</v>
      </c>
      <c r="F124" s="7"/>
      <c r="G124" s="159">
        <v>0.3</v>
      </c>
      <c r="H124" s="163">
        <v>0.2</v>
      </c>
      <c r="I124" s="156">
        <v>0.3</v>
      </c>
      <c r="J124" s="159">
        <v>0.2</v>
      </c>
      <c r="K124" s="162">
        <f t="shared" si="21"/>
        <v>0.8</v>
      </c>
      <c r="L124" s="265"/>
      <c r="M124" s="322"/>
      <c r="N124" s="60"/>
    </row>
    <row r="125" spans="1:14" ht="12.75" x14ac:dyDescent="0.2">
      <c r="A125" s="260"/>
      <c r="B125" s="264" t="s">
        <v>170</v>
      </c>
      <c r="C125" s="26">
        <v>17.5</v>
      </c>
      <c r="D125" s="262"/>
      <c r="E125" s="162"/>
      <c r="F125" s="7"/>
      <c r="G125" s="159"/>
      <c r="H125" s="163"/>
      <c r="I125" s="156"/>
      <c r="J125" s="159"/>
      <c r="K125" s="266"/>
      <c r="L125" s="265"/>
      <c r="M125" s="322"/>
      <c r="N125" s="60"/>
    </row>
    <row r="126" spans="1:14" ht="12.75" x14ac:dyDescent="0.2">
      <c r="A126" s="260"/>
      <c r="B126" s="264" t="s">
        <v>171</v>
      </c>
      <c r="C126" s="26">
        <v>17.8</v>
      </c>
      <c r="D126" s="262"/>
      <c r="E126" s="162">
        <v>19</v>
      </c>
      <c r="F126" s="7"/>
      <c r="G126" s="159">
        <v>3.2</v>
      </c>
      <c r="H126" s="163">
        <v>6</v>
      </c>
      <c r="I126" s="156">
        <v>5.8</v>
      </c>
      <c r="J126" s="159">
        <v>4</v>
      </c>
      <c r="K126" s="162">
        <f>G126+H126+I126</f>
        <v>15</v>
      </c>
      <c r="L126" s="265"/>
      <c r="M126" s="322">
        <v>19</v>
      </c>
      <c r="N126" s="60"/>
    </row>
    <row r="127" spans="1:14" ht="12.75" x14ac:dyDescent="0.2">
      <c r="A127" s="260"/>
      <c r="B127" s="264" t="s">
        <v>174</v>
      </c>
      <c r="C127" s="26">
        <v>1.2</v>
      </c>
      <c r="D127" s="262"/>
      <c r="E127" s="162">
        <v>1.2</v>
      </c>
      <c r="F127" s="7"/>
      <c r="G127" s="159">
        <v>0.3</v>
      </c>
      <c r="H127" s="163">
        <v>0.6</v>
      </c>
      <c r="I127" s="156">
        <v>0.3</v>
      </c>
      <c r="J127" s="159"/>
      <c r="K127" s="162">
        <f>G127+H127+I127</f>
        <v>1.2</v>
      </c>
      <c r="L127" s="265"/>
      <c r="M127" s="322"/>
      <c r="N127" s="60"/>
    </row>
    <row r="128" spans="1:14" ht="12.75" x14ac:dyDescent="0.2">
      <c r="A128" s="260"/>
      <c r="B128" s="264" t="s">
        <v>175</v>
      </c>
      <c r="C128" s="26">
        <v>8.3000000000000007</v>
      </c>
      <c r="D128" s="262"/>
      <c r="E128" s="162">
        <v>13.3</v>
      </c>
      <c r="F128" s="7"/>
      <c r="G128" s="159">
        <v>13.3</v>
      </c>
      <c r="H128" s="163"/>
      <c r="I128" s="156"/>
      <c r="J128" s="159"/>
      <c r="K128" s="160">
        <f>G128+H128+I128</f>
        <v>13.3</v>
      </c>
      <c r="L128" s="265"/>
      <c r="M128" s="322">
        <v>13.3</v>
      </c>
      <c r="N128" s="60"/>
    </row>
    <row r="129" spans="1:15" ht="12.75" x14ac:dyDescent="0.2">
      <c r="A129" s="260"/>
      <c r="B129" s="264" t="s">
        <v>200</v>
      </c>
      <c r="C129" s="26"/>
      <c r="D129" s="262"/>
      <c r="E129" s="162"/>
      <c r="F129" s="7"/>
      <c r="G129" s="159"/>
      <c r="H129" s="163"/>
      <c r="I129" s="156"/>
      <c r="J129" s="159"/>
      <c r="K129" s="162"/>
      <c r="L129" s="265"/>
      <c r="M129" s="322">
        <v>3.6</v>
      </c>
      <c r="N129" s="60"/>
    </row>
    <row r="130" spans="1:15" ht="12.75" x14ac:dyDescent="0.2">
      <c r="A130" s="260"/>
      <c r="B130" s="264" t="s">
        <v>173</v>
      </c>
      <c r="C130" s="26">
        <v>41.4</v>
      </c>
      <c r="D130" s="262"/>
      <c r="E130" s="162">
        <v>83.3</v>
      </c>
      <c r="F130" s="7"/>
      <c r="G130" s="159"/>
      <c r="H130" s="163">
        <v>79.8</v>
      </c>
      <c r="I130" s="156">
        <v>3.5</v>
      </c>
      <c r="J130" s="159"/>
      <c r="K130" s="160">
        <f t="shared" ref="K130:K135" si="22">G130+H130+I130</f>
        <v>83.3</v>
      </c>
      <c r="L130" s="265"/>
      <c r="M130" s="322">
        <v>18.3</v>
      </c>
      <c r="N130" s="60"/>
    </row>
    <row r="131" spans="1:15" ht="12.75" x14ac:dyDescent="0.2">
      <c r="A131" s="260"/>
      <c r="B131" s="264" t="s">
        <v>186</v>
      </c>
      <c r="C131" s="26"/>
      <c r="D131" s="262"/>
      <c r="E131" s="162">
        <v>1.4</v>
      </c>
      <c r="F131" s="7"/>
      <c r="G131" s="159"/>
      <c r="H131" s="163">
        <v>1.4</v>
      </c>
      <c r="I131" s="156"/>
      <c r="J131" s="159"/>
      <c r="K131" s="162">
        <f t="shared" si="22"/>
        <v>1.4</v>
      </c>
      <c r="L131" s="265"/>
      <c r="M131" s="323"/>
      <c r="N131" s="60"/>
    </row>
    <row r="132" spans="1:15" ht="12.75" x14ac:dyDescent="0.2">
      <c r="A132" s="260"/>
      <c r="B132" s="264" t="s">
        <v>188</v>
      </c>
      <c r="C132" s="26"/>
      <c r="D132" s="262"/>
      <c r="E132" s="162">
        <v>2.9</v>
      </c>
      <c r="F132" s="7"/>
      <c r="G132" s="159"/>
      <c r="H132" s="163">
        <v>2.9</v>
      </c>
      <c r="I132" s="156"/>
      <c r="J132" s="159"/>
      <c r="K132" s="160">
        <f t="shared" si="22"/>
        <v>2.9</v>
      </c>
      <c r="L132" s="265"/>
      <c r="M132" s="323"/>
      <c r="N132" s="60"/>
    </row>
    <row r="133" spans="1:15" ht="12.75" x14ac:dyDescent="0.2">
      <c r="A133" s="260"/>
      <c r="B133" s="264" t="s">
        <v>176</v>
      </c>
      <c r="C133" s="26">
        <v>105.1</v>
      </c>
      <c r="D133" s="262"/>
      <c r="E133" s="162">
        <v>56.6</v>
      </c>
      <c r="F133" s="7"/>
      <c r="G133" s="159">
        <v>31</v>
      </c>
      <c r="H133" s="163">
        <v>13.1</v>
      </c>
      <c r="I133" s="156">
        <v>12.5</v>
      </c>
      <c r="J133" s="159"/>
      <c r="K133" s="162">
        <f t="shared" si="22"/>
        <v>56.6</v>
      </c>
      <c r="L133" s="265"/>
      <c r="M133" s="322">
        <v>56.5</v>
      </c>
      <c r="N133" s="60"/>
    </row>
    <row r="134" spans="1:15" ht="38.25" x14ac:dyDescent="0.2">
      <c r="A134" s="260" t="s">
        <v>134</v>
      </c>
      <c r="B134" s="153" t="s">
        <v>196</v>
      </c>
      <c r="C134" s="26"/>
      <c r="D134" s="262"/>
      <c r="E134" s="81">
        <v>100</v>
      </c>
      <c r="F134" s="7"/>
      <c r="G134" s="32">
        <v>25</v>
      </c>
      <c r="H134" s="7">
        <v>25</v>
      </c>
      <c r="I134" s="8">
        <v>25</v>
      </c>
      <c r="J134" s="32">
        <v>25</v>
      </c>
      <c r="K134" s="132">
        <f t="shared" si="22"/>
        <v>75</v>
      </c>
      <c r="L134" s="267"/>
      <c r="M134" s="328">
        <v>100.6</v>
      </c>
      <c r="N134" s="26"/>
    </row>
    <row r="135" spans="1:15" ht="25.5" x14ac:dyDescent="0.2">
      <c r="A135" s="260">
        <v>4</v>
      </c>
      <c r="B135" s="268" t="s">
        <v>88</v>
      </c>
      <c r="C135" s="27">
        <f>C11+C40-C47</f>
        <v>45.409999999998945</v>
      </c>
      <c r="D135" s="262"/>
      <c r="E135" s="223">
        <f>E11+E40-E47</f>
        <v>20.018319999999221</v>
      </c>
      <c r="F135" s="7"/>
      <c r="G135" s="224">
        <f>G11+G40-G47</f>
        <v>3.0750000000000455</v>
      </c>
      <c r="H135" s="147">
        <f>H11+H40-H47</f>
        <v>4.9249999999999545</v>
      </c>
      <c r="I135" s="225">
        <f>I11+I40-I47</f>
        <v>6.7250000000001364</v>
      </c>
      <c r="J135" s="224">
        <f>J11+J40-J47</f>
        <v>94.398329999999987</v>
      </c>
      <c r="K135" s="220">
        <f t="shared" si="22"/>
        <v>14.725000000000136</v>
      </c>
      <c r="L135" s="265"/>
      <c r="M135" s="337">
        <f>M11+M40-M47</f>
        <v>252.00000000000091</v>
      </c>
      <c r="N135" s="124"/>
    </row>
    <row r="136" spans="1:15" ht="12.75" x14ac:dyDescent="0.2">
      <c r="A136" s="259">
        <v>5</v>
      </c>
      <c r="B136" s="264" t="s">
        <v>89</v>
      </c>
      <c r="C136" s="182"/>
      <c r="D136" s="262"/>
      <c r="E136" s="269"/>
      <c r="F136" s="133"/>
      <c r="G136" s="149"/>
      <c r="H136" s="9"/>
      <c r="I136" s="11"/>
      <c r="J136" s="149"/>
      <c r="K136" s="219"/>
      <c r="L136" s="152"/>
      <c r="M136" s="324"/>
      <c r="N136" s="124"/>
    </row>
    <row r="137" spans="1:15" ht="13.5" thickBot="1" x14ac:dyDescent="0.25">
      <c r="A137" s="270">
        <v>6</v>
      </c>
      <c r="B137" s="271" t="s">
        <v>90</v>
      </c>
      <c r="C137" s="188"/>
      <c r="D137" s="272"/>
      <c r="E137" s="203"/>
      <c r="F137" s="273"/>
      <c r="G137" s="143"/>
      <c r="H137" s="274"/>
      <c r="I137" s="275"/>
      <c r="J137" s="276"/>
      <c r="K137" s="177"/>
      <c r="L137" s="206"/>
      <c r="M137" s="344"/>
      <c r="N137" s="277"/>
    </row>
    <row r="138" spans="1:15" ht="39" thickBot="1" x14ac:dyDescent="0.25">
      <c r="A138" s="117">
        <v>7</v>
      </c>
      <c r="B138" s="278" t="s">
        <v>86</v>
      </c>
      <c r="C138" s="279">
        <f>C135</f>
        <v>45.409999999998945</v>
      </c>
      <c r="D138" s="117"/>
      <c r="E138" s="280">
        <f>E135</f>
        <v>20.018319999999221</v>
      </c>
      <c r="F138" s="36"/>
      <c r="G138" s="45">
        <f>G135</f>
        <v>3.0750000000000455</v>
      </c>
      <c r="H138" s="36">
        <f>H135</f>
        <v>4.9249999999999545</v>
      </c>
      <c r="I138" s="45">
        <f>I135</f>
        <v>6.7250000000001364</v>
      </c>
      <c r="J138" s="53">
        <f>J135</f>
        <v>94.398329999999987</v>
      </c>
      <c r="K138" s="77">
        <f>G138+H138+I138</f>
        <v>14.725000000000136</v>
      </c>
      <c r="L138" s="281"/>
      <c r="M138" s="345">
        <f>M135</f>
        <v>252.00000000000091</v>
      </c>
      <c r="N138" s="114"/>
    </row>
    <row r="139" spans="1:15" ht="13.5" thickBot="1" x14ac:dyDescent="0.25">
      <c r="A139" s="189">
        <v>8</v>
      </c>
      <c r="B139" s="16" t="s">
        <v>87</v>
      </c>
      <c r="C139" s="29">
        <v>0</v>
      </c>
      <c r="D139" s="282"/>
      <c r="E139" s="76">
        <f>E138*18%</f>
        <v>3.6032975999998595</v>
      </c>
      <c r="F139" s="283"/>
      <c r="G139" s="35">
        <f>G138*18%</f>
        <v>0.55350000000000821</v>
      </c>
      <c r="H139" s="35">
        <f>H138*18%</f>
        <v>0.88649999999999174</v>
      </c>
      <c r="I139" s="35">
        <f>I138*18%</f>
        <v>1.2105000000000246</v>
      </c>
      <c r="J139" s="52">
        <f>J138*18%</f>
        <v>16.991699399999998</v>
      </c>
      <c r="K139" s="77">
        <f>G139+H139+I139</f>
        <v>2.6505000000000245</v>
      </c>
      <c r="L139" s="84"/>
      <c r="M139" s="346">
        <v>45.4</v>
      </c>
      <c r="N139" s="90"/>
    </row>
    <row r="140" spans="1:15" ht="13.5" thickBot="1" x14ac:dyDescent="0.25">
      <c r="A140" s="115">
        <v>9</v>
      </c>
      <c r="B140" s="21" t="s">
        <v>91</v>
      </c>
      <c r="C140" s="23">
        <f>C138-C139</f>
        <v>45.409999999998945</v>
      </c>
      <c r="D140" s="284"/>
      <c r="E140" s="77">
        <f>E138-E139</f>
        <v>16.415022399999362</v>
      </c>
      <c r="F140" s="285"/>
      <c r="G140" s="36">
        <f>G138-G139</f>
        <v>2.5215000000000374</v>
      </c>
      <c r="H140" s="36">
        <f>H138-H139</f>
        <v>4.0384999999999627</v>
      </c>
      <c r="I140" s="36">
        <f>I138-I139</f>
        <v>5.5145000000001119</v>
      </c>
      <c r="J140" s="53">
        <f>J138-J139+0.1</f>
        <v>77.50663059999998</v>
      </c>
      <c r="K140" s="77">
        <f>G140+H140+I140</f>
        <v>12.074500000000112</v>
      </c>
      <c r="L140" s="281"/>
      <c r="M140" s="345">
        <f>M138-M139</f>
        <v>206.6000000000009</v>
      </c>
      <c r="N140" s="114"/>
      <c r="O140" s="30"/>
    </row>
    <row r="141" spans="1:15" ht="15" customHeight="1" thickBot="1" x14ac:dyDescent="0.25">
      <c r="A141" s="145">
        <v>10</v>
      </c>
      <c r="B141" s="21" t="s">
        <v>92</v>
      </c>
      <c r="C141" s="23">
        <v>0.8</v>
      </c>
      <c r="D141" s="284"/>
      <c r="E141" s="77">
        <f>E140/E47*100</f>
        <v>0.36649823712242741</v>
      </c>
      <c r="F141" s="285"/>
      <c r="G141" s="36">
        <f>G140/G47*100</f>
        <v>0.22260478050718735</v>
      </c>
      <c r="H141" s="36">
        <f>H140/H47*100</f>
        <v>0.34746510077218923</v>
      </c>
      <c r="I141" s="36">
        <f>I140/I47*100</f>
        <v>0.49303739466685553</v>
      </c>
      <c r="J141" s="53">
        <f>J140/J47*100</f>
        <v>7.9387993467224094</v>
      </c>
      <c r="K141" s="77">
        <f>G141+H141+I141</f>
        <v>1.0631072759462321</v>
      </c>
      <c r="L141" s="281"/>
      <c r="M141" s="345">
        <f>M140/M47*100</f>
        <v>4.8714925725065052</v>
      </c>
      <c r="N141" s="114"/>
    </row>
    <row r="142" spans="1:15" ht="25.5" x14ac:dyDescent="0.2">
      <c r="A142" s="123">
        <v>11</v>
      </c>
      <c r="B142" s="286" t="s">
        <v>93</v>
      </c>
      <c r="C142" s="22">
        <v>100</v>
      </c>
      <c r="D142" s="127"/>
      <c r="E142" s="181">
        <v>100</v>
      </c>
      <c r="F142" s="48"/>
      <c r="G142" s="56">
        <v>100</v>
      </c>
      <c r="H142" s="57">
        <v>100</v>
      </c>
      <c r="I142" s="56">
        <v>100</v>
      </c>
      <c r="J142" s="57">
        <v>100</v>
      </c>
      <c r="K142" s="76">
        <v>100</v>
      </c>
      <c r="L142" s="192"/>
      <c r="M142" s="343">
        <v>100</v>
      </c>
      <c r="N142" s="216"/>
    </row>
    <row r="143" spans="1:15" ht="24" customHeight="1" x14ac:dyDescent="0.2">
      <c r="A143" s="123">
        <v>12</v>
      </c>
      <c r="B143" s="287" t="s">
        <v>122</v>
      </c>
      <c r="C143" s="15"/>
      <c r="D143" s="125"/>
      <c r="E143" s="81"/>
      <c r="F143" s="32"/>
      <c r="G143" s="9"/>
      <c r="H143" s="11"/>
      <c r="I143" s="9"/>
      <c r="J143" s="11"/>
      <c r="K143" s="151"/>
      <c r="L143" s="152"/>
      <c r="M143" s="326">
        <v>206.9</v>
      </c>
      <c r="N143" s="124"/>
    </row>
    <row r="144" spans="1:15" ht="13.5" customHeight="1" x14ac:dyDescent="0.2">
      <c r="A144" s="123" t="s">
        <v>134</v>
      </c>
      <c r="B144" s="286" t="s">
        <v>129</v>
      </c>
      <c r="C144" s="15"/>
      <c r="D144" s="125"/>
      <c r="E144" s="81"/>
      <c r="F144" s="32"/>
      <c r="G144" s="9"/>
      <c r="H144" s="11"/>
      <c r="I144" s="9"/>
      <c r="J144" s="11"/>
      <c r="K144" s="151"/>
      <c r="L144" s="152"/>
      <c r="M144" s="326">
        <v>956</v>
      </c>
      <c r="N144" s="124"/>
    </row>
    <row r="145" spans="1:14" ht="11.25" customHeight="1" x14ac:dyDescent="0.2">
      <c r="A145" s="123"/>
      <c r="B145" s="153" t="s">
        <v>131</v>
      </c>
      <c r="C145" s="15"/>
      <c r="D145" s="125"/>
      <c r="E145" s="81"/>
      <c r="F145" s="32"/>
      <c r="G145" s="9"/>
      <c r="H145" s="11"/>
      <c r="I145" s="9"/>
      <c r="J145" s="11"/>
      <c r="K145" s="151"/>
      <c r="L145" s="152"/>
      <c r="M145" s="326">
        <v>899</v>
      </c>
      <c r="N145" s="124"/>
    </row>
    <row r="146" spans="1:14" ht="12" customHeight="1" x14ac:dyDescent="0.2">
      <c r="A146" s="123"/>
      <c r="B146" s="153" t="s">
        <v>132</v>
      </c>
      <c r="C146" s="15"/>
      <c r="D146" s="125"/>
      <c r="E146" s="81"/>
      <c r="F146" s="32"/>
      <c r="G146" s="9"/>
      <c r="H146" s="11"/>
      <c r="I146" s="9"/>
      <c r="J146" s="11"/>
      <c r="K146" s="151"/>
      <c r="L146" s="152"/>
      <c r="M146" s="326">
        <v>25.3</v>
      </c>
      <c r="N146" s="124"/>
    </row>
    <row r="147" spans="1:14" ht="12" customHeight="1" x14ac:dyDescent="0.2">
      <c r="A147" s="123"/>
      <c r="B147" s="153" t="s">
        <v>133</v>
      </c>
      <c r="C147" s="15"/>
      <c r="D147" s="125"/>
      <c r="E147" s="81"/>
      <c r="F147" s="32"/>
      <c r="G147" s="288"/>
      <c r="H147" s="14"/>
      <c r="I147" s="288"/>
      <c r="J147" s="14"/>
      <c r="K147" s="151"/>
      <c r="L147" s="152"/>
      <c r="M147" s="326">
        <v>32.299999999999997</v>
      </c>
      <c r="N147" s="124"/>
    </row>
    <row r="148" spans="1:14" ht="12.75" x14ac:dyDescent="0.2">
      <c r="A148" s="123" t="s">
        <v>134</v>
      </c>
      <c r="B148" s="287" t="s">
        <v>94</v>
      </c>
      <c r="C148" s="15">
        <f>C140</f>
        <v>45.409999999998945</v>
      </c>
      <c r="D148" s="125"/>
      <c r="E148" s="220">
        <f>E140</f>
        <v>16.415022399999362</v>
      </c>
      <c r="F148" s="32"/>
      <c r="G148" s="196">
        <f>G140</f>
        <v>2.5215000000000374</v>
      </c>
      <c r="H148" s="222">
        <f>H140</f>
        <v>4.0384999999999627</v>
      </c>
      <c r="I148" s="196">
        <f>I140</f>
        <v>5.5145000000001119</v>
      </c>
      <c r="J148" s="222">
        <f>J140</f>
        <v>77.50663059999998</v>
      </c>
      <c r="K148" s="74">
        <f>G148+H148+I148</f>
        <v>12.074500000000112</v>
      </c>
      <c r="L148" s="152"/>
      <c r="M148" s="336">
        <v>45.4</v>
      </c>
      <c r="N148" s="124"/>
    </row>
    <row r="149" spans="1:14" ht="12.75" x14ac:dyDescent="0.2">
      <c r="A149" s="123" t="s">
        <v>0</v>
      </c>
      <c r="B149" s="153" t="s">
        <v>95</v>
      </c>
      <c r="C149" s="26">
        <f>C148*80%</f>
        <v>36.327999999999157</v>
      </c>
      <c r="D149" s="125"/>
      <c r="E149" s="81">
        <v>13.2</v>
      </c>
      <c r="F149" s="32"/>
      <c r="G149" s="7">
        <f>G148*80%</f>
        <v>2.0172000000000301</v>
      </c>
      <c r="H149" s="8">
        <f>H148*80%</f>
        <v>3.2307999999999701</v>
      </c>
      <c r="I149" s="7">
        <f>I148*80%</f>
        <v>4.4116000000000897</v>
      </c>
      <c r="J149" s="8">
        <f>J148*80%</f>
        <v>62.005304479999985</v>
      </c>
      <c r="K149" s="81">
        <f>G149+H149+I149</f>
        <v>9.6596000000000899</v>
      </c>
      <c r="L149" s="152"/>
      <c r="M149" s="326">
        <v>36.299999999999997</v>
      </c>
      <c r="N149" s="124"/>
    </row>
    <row r="150" spans="1:14" ht="12.75" x14ac:dyDescent="0.2">
      <c r="A150" s="123"/>
      <c r="B150" s="153" t="s">
        <v>96</v>
      </c>
      <c r="C150" s="26">
        <f>C148*10%</f>
        <v>4.5409999999998947</v>
      </c>
      <c r="D150" s="125"/>
      <c r="E150" s="81">
        <f>E148*10%</f>
        <v>1.6415022399999364</v>
      </c>
      <c r="F150" s="32"/>
      <c r="G150" s="7">
        <f>G148*10%</f>
        <v>0.25215000000000376</v>
      </c>
      <c r="H150" s="8">
        <f>H148*10%</f>
        <v>0.40384999999999627</v>
      </c>
      <c r="I150" s="7">
        <v>0.5</v>
      </c>
      <c r="J150" s="8">
        <f>J148*10%</f>
        <v>7.7506630599999982</v>
      </c>
      <c r="K150" s="132">
        <f>G150+H150+I150</f>
        <v>1.1560000000000001</v>
      </c>
      <c r="L150" s="152"/>
      <c r="M150" s="326">
        <v>4.5999999999999996</v>
      </c>
      <c r="N150" s="124"/>
    </row>
    <row r="151" spans="1:14" ht="12.75" x14ac:dyDescent="0.2">
      <c r="A151" s="123"/>
      <c r="B151" s="153" t="s">
        <v>97</v>
      </c>
      <c r="C151" s="26">
        <f>C148*10%</f>
        <v>4.5409999999998947</v>
      </c>
      <c r="D151" s="125"/>
      <c r="E151" s="81">
        <f>E148*10%</f>
        <v>1.6415022399999364</v>
      </c>
      <c r="F151" s="32"/>
      <c r="G151" s="7">
        <v>0.2</v>
      </c>
      <c r="H151" s="8">
        <f>H148*10%</f>
        <v>0.40384999999999627</v>
      </c>
      <c r="I151" s="7">
        <v>0.6</v>
      </c>
      <c r="J151" s="8">
        <f>J148*10%</f>
        <v>7.7506630599999982</v>
      </c>
      <c r="K151" s="81">
        <f>G151+H151+I151</f>
        <v>1.2038499999999961</v>
      </c>
      <c r="L151" s="152"/>
      <c r="M151" s="326">
        <v>4.5</v>
      </c>
      <c r="N151" s="124"/>
    </row>
    <row r="152" spans="1:14" ht="12.75" x14ac:dyDescent="0.2">
      <c r="A152" s="123" t="s">
        <v>134</v>
      </c>
      <c r="B152" s="287" t="s">
        <v>98</v>
      </c>
      <c r="C152" s="15"/>
      <c r="D152" s="125"/>
      <c r="E152" s="81"/>
      <c r="F152" s="32"/>
      <c r="G152" s="289"/>
      <c r="H152" s="250"/>
      <c r="I152" s="289"/>
      <c r="J152" s="250"/>
      <c r="K152" s="219"/>
      <c r="L152" s="152"/>
      <c r="M152" s="328">
        <v>72.099999999999994</v>
      </c>
      <c r="N152" s="124"/>
    </row>
    <row r="153" spans="1:14" ht="12.75" x14ac:dyDescent="0.2">
      <c r="A153" s="123"/>
      <c r="B153" s="153" t="s">
        <v>131</v>
      </c>
      <c r="C153" s="15"/>
      <c r="D153" s="125"/>
      <c r="E153" s="81"/>
      <c r="F153" s="32"/>
      <c r="G153" s="9"/>
      <c r="H153" s="11"/>
      <c r="I153" s="9"/>
      <c r="J153" s="11"/>
      <c r="K153" s="151"/>
      <c r="L153" s="152"/>
      <c r="M153" s="328">
        <v>35.299999999999997</v>
      </c>
      <c r="N153" s="124"/>
    </row>
    <row r="154" spans="1:14" ht="12.75" x14ac:dyDescent="0.2">
      <c r="A154" s="123"/>
      <c r="B154" s="153" t="s">
        <v>132</v>
      </c>
      <c r="C154" s="15"/>
      <c r="D154" s="125"/>
      <c r="E154" s="81"/>
      <c r="F154" s="32"/>
      <c r="G154" s="9"/>
      <c r="H154" s="11"/>
      <c r="I154" s="9"/>
      <c r="J154" s="11"/>
      <c r="K154" s="151"/>
      <c r="L154" s="152"/>
      <c r="M154" s="359">
        <v>22.2</v>
      </c>
      <c r="N154" s="124"/>
    </row>
    <row r="155" spans="1:14" ht="12.75" x14ac:dyDescent="0.2">
      <c r="A155" s="227"/>
      <c r="B155" s="153" t="s">
        <v>133</v>
      </c>
      <c r="C155" s="15"/>
      <c r="D155" s="125"/>
      <c r="E155" s="81"/>
      <c r="F155" s="32"/>
      <c r="G155" s="9"/>
      <c r="H155" s="11"/>
      <c r="I155" s="9"/>
      <c r="J155" s="11"/>
      <c r="K155" s="151"/>
      <c r="L155" s="152"/>
      <c r="M155" s="328">
        <v>14.6</v>
      </c>
      <c r="N155" s="124"/>
    </row>
    <row r="156" spans="1:14" ht="12.75" x14ac:dyDescent="0.2">
      <c r="A156" s="227" t="s">
        <v>134</v>
      </c>
      <c r="B156" s="287" t="s">
        <v>130</v>
      </c>
      <c r="C156" s="15"/>
      <c r="D156" s="125"/>
      <c r="E156" s="81"/>
      <c r="F156" s="32"/>
      <c r="G156" s="9"/>
      <c r="H156" s="11"/>
      <c r="I156" s="9"/>
      <c r="J156" s="11"/>
      <c r="K156" s="151"/>
      <c r="L156" s="152"/>
      <c r="M156" s="328">
        <v>929.9</v>
      </c>
      <c r="N156" s="124"/>
    </row>
    <row r="157" spans="1:14" ht="12.75" x14ac:dyDescent="0.2">
      <c r="A157" s="227"/>
      <c r="B157" s="153" t="s">
        <v>131</v>
      </c>
      <c r="C157" s="15"/>
      <c r="D157" s="125"/>
      <c r="E157" s="81"/>
      <c r="F157" s="32"/>
      <c r="G157" s="9"/>
      <c r="H157" s="11"/>
      <c r="I157" s="9"/>
      <c r="J157" s="11"/>
      <c r="K157" s="151"/>
      <c r="L157" s="152"/>
      <c r="M157" s="328">
        <v>900</v>
      </c>
      <c r="N157" s="124"/>
    </row>
    <row r="158" spans="1:14" ht="12.75" x14ac:dyDescent="0.2">
      <c r="A158" s="227"/>
      <c r="B158" s="153" t="s">
        <v>132</v>
      </c>
      <c r="C158" s="15"/>
      <c r="D158" s="125"/>
      <c r="E158" s="81"/>
      <c r="F158" s="32"/>
      <c r="G158" s="9"/>
      <c r="H158" s="11"/>
      <c r="I158" s="9"/>
      <c r="J158" s="11"/>
      <c r="K158" s="151"/>
      <c r="L158" s="152"/>
      <c r="M158" s="328">
        <v>7.7</v>
      </c>
      <c r="N158" s="124"/>
    </row>
    <row r="159" spans="1:14" ht="12.75" x14ac:dyDescent="0.2">
      <c r="A159" s="227"/>
      <c r="B159" s="153" t="s">
        <v>133</v>
      </c>
      <c r="C159" s="15"/>
      <c r="D159" s="125"/>
      <c r="E159" s="81"/>
      <c r="F159" s="32"/>
      <c r="G159" s="9"/>
      <c r="H159" s="11"/>
      <c r="I159" s="9"/>
      <c r="J159" s="11"/>
      <c r="K159" s="151"/>
      <c r="L159" s="152"/>
      <c r="M159" s="328">
        <v>22.2</v>
      </c>
      <c r="N159" s="124"/>
    </row>
    <row r="160" spans="1:14" ht="13.5" thickBot="1" x14ac:dyDescent="0.25">
      <c r="A160" s="123"/>
      <c r="B160" s="373" t="s">
        <v>73</v>
      </c>
      <c r="C160" s="169"/>
      <c r="D160" s="406"/>
      <c r="E160" s="205"/>
      <c r="F160" s="407"/>
      <c r="G160" s="288"/>
      <c r="H160" s="14"/>
      <c r="I160" s="288"/>
      <c r="J160" s="14"/>
      <c r="K160" s="177"/>
      <c r="L160" s="206"/>
      <c r="M160" s="331"/>
      <c r="N160" s="277"/>
    </row>
    <row r="161" spans="1:14" ht="12.75" x14ac:dyDescent="0.2">
      <c r="A161" s="290"/>
      <c r="B161" s="389" t="s">
        <v>142</v>
      </c>
      <c r="C161" s="178">
        <f>C51+C52+C60+C61+C70+C71+C79+C80+C89+C90+C102+C103+C111+C112</f>
        <v>1323.2</v>
      </c>
      <c r="D161" s="408"/>
      <c r="E161" s="179">
        <v>1663</v>
      </c>
      <c r="F161" s="409"/>
      <c r="G161" s="56">
        <v>410.4</v>
      </c>
      <c r="H161" s="57">
        <v>414.5</v>
      </c>
      <c r="I161" s="56">
        <v>417.1</v>
      </c>
      <c r="J161" s="57">
        <v>421</v>
      </c>
      <c r="K161" s="179">
        <f>G161+H161+I161</f>
        <v>1242</v>
      </c>
      <c r="L161" s="410"/>
      <c r="M161" s="332">
        <f>M51+M52+M60+M61+M70+M71+M79+M80+M89+M90+M102+M103+M111+M112</f>
        <v>1645.7</v>
      </c>
      <c r="N161" s="405"/>
    </row>
    <row r="162" spans="1:14" ht="12.75" x14ac:dyDescent="0.2">
      <c r="A162" s="290"/>
      <c r="B162" s="252" t="s">
        <v>143</v>
      </c>
      <c r="C162" s="292">
        <f>C163/C161*100</f>
        <v>82.769044740024185</v>
      </c>
      <c r="D162" s="262"/>
      <c r="E162" s="293">
        <f>E163/E161*100</f>
        <v>61.052315093205053</v>
      </c>
      <c r="F162" s="161"/>
      <c r="G162" s="292">
        <f>G163/G161*100</f>
        <v>61.817738791423004</v>
      </c>
      <c r="H162" s="294">
        <f>H163/H161*100</f>
        <v>61.248492159227993</v>
      </c>
      <c r="I162" s="292">
        <f>I163/I161*100</f>
        <v>60.83672980100696</v>
      </c>
      <c r="J162" s="294">
        <f>J163/J161*100</f>
        <v>60.308788598574822</v>
      </c>
      <c r="K162" s="160">
        <v>61.3</v>
      </c>
      <c r="L162" s="65"/>
      <c r="M162" s="358">
        <f>M163/M161*100</f>
        <v>76.320106945372785</v>
      </c>
      <c r="N162" s="277"/>
    </row>
    <row r="163" spans="1:14" ht="13.5" thickBot="1" x14ac:dyDescent="0.25">
      <c r="A163" s="145">
        <v>13</v>
      </c>
      <c r="B163" s="215" t="s">
        <v>74</v>
      </c>
      <c r="C163" s="19">
        <f>C164+C169+C174++C175</f>
        <v>1095.2</v>
      </c>
      <c r="D163" s="28">
        <f>(C163/226.9/12)*100</f>
        <v>40.223299544586453</v>
      </c>
      <c r="E163" s="280">
        <f>E164+E169+E174++E175</f>
        <v>1015.3000000000001</v>
      </c>
      <c r="F163" s="43">
        <f>(E163/226.9/12)*100</f>
        <v>37.28882033201117</v>
      </c>
      <c r="G163" s="33">
        <f>G164+G169+G174+G175</f>
        <v>253.7</v>
      </c>
      <c r="H163" s="45">
        <f>H164+H169+H174++H175</f>
        <v>253.87500000000003</v>
      </c>
      <c r="I163" s="33">
        <f>I164+I169+I174++I175</f>
        <v>253.75000000000003</v>
      </c>
      <c r="J163" s="45">
        <f>J164+J169+J174+J175</f>
        <v>253.9</v>
      </c>
      <c r="K163" s="381">
        <f t="shared" ref="K163:K179" si="23">G163+H163+I163</f>
        <v>761.32500000000005</v>
      </c>
      <c r="L163" s="18">
        <f t="shared" ref="L163:L179" si="24">(K163/226.9/9)*100</f>
        <v>37.281474952255031</v>
      </c>
      <c r="M163" s="411">
        <f>M164+M169+M174+M175</f>
        <v>1256</v>
      </c>
      <c r="N163" s="28"/>
    </row>
    <row r="164" spans="1:14" ht="12.75" x14ac:dyDescent="0.2">
      <c r="A164" s="259" t="s">
        <v>99</v>
      </c>
      <c r="B164" s="389" t="s">
        <v>75</v>
      </c>
      <c r="C164" s="24">
        <f>C165+C166+C167+C168</f>
        <v>760.1</v>
      </c>
      <c r="D164" s="24">
        <f>(C164/226.9/12)*100</f>
        <v>27.916115763184955</v>
      </c>
      <c r="E164" s="391">
        <f>E165+E166+E167+E168</f>
        <v>662.90000000000009</v>
      </c>
      <c r="F164" s="38">
        <f>(E164/226.9/12)*100</f>
        <v>24.346261201704131</v>
      </c>
      <c r="G164" s="12">
        <f>G165+G166+G167+G168</f>
        <v>165.7</v>
      </c>
      <c r="H164" s="41">
        <f>H165+H166+H167+H168</f>
        <v>165.77500000000001</v>
      </c>
      <c r="I164" s="12">
        <f>I165+I166+I167+I168</f>
        <v>165.67500000000001</v>
      </c>
      <c r="J164" s="41">
        <f>J165+J166+J167+J168</f>
        <v>165.7</v>
      </c>
      <c r="K164" s="80">
        <f t="shared" si="23"/>
        <v>497.15000000000003</v>
      </c>
      <c r="L164" s="207">
        <f t="shared" si="24"/>
        <v>24.345036971744776</v>
      </c>
      <c r="M164" s="327">
        <f>M165+M166+M167+M168</f>
        <v>870</v>
      </c>
      <c r="N164" s="29">
        <f>M164-K164</f>
        <v>372.84999999999997</v>
      </c>
    </row>
    <row r="165" spans="1:14" ht="12.75" x14ac:dyDescent="0.2">
      <c r="A165" s="123"/>
      <c r="B165" s="124" t="s">
        <v>69</v>
      </c>
      <c r="C165" s="182">
        <v>489.6</v>
      </c>
      <c r="D165" s="26">
        <f>(C165/226.9/12)*100</f>
        <v>17.981489643014545</v>
      </c>
      <c r="E165" s="243">
        <v>331.2</v>
      </c>
      <c r="F165" s="296">
        <f>(E165/226.9/12)*100</f>
        <v>12.163948876156898</v>
      </c>
      <c r="G165" s="7">
        <v>82.8</v>
      </c>
      <c r="H165" s="8">
        <v>82.8</v>
      </c>
      <c r="I165" s="7">
        <v>82.8</v>
      </c>
      <c r="J165" s="8">
        <v>82.8</v>
      </c>
      <c r="K165" s="81">
        <f t="shared" si="23"/>
        <v>248.39999999999998</v>
      </c>
      <c r="L165" s="127">
        <f t="shared" si="24"/>
        <v>12.163948876156896</v>
      </c>
      <c r="M165" s="328">
        <v>534.6</v>
      </c>
      <c r="N165" s="26"/>
    </row>
    <row r="166" spans="1:14" ht="12.75" x14ac:dyDescent="0.2">
      <c r="A166" s="123"/>
      <c r="B166" s="124" t="s">
        <v>70</v>
      </c>
      <c r="C166" s="182"/>
      <c r="D166" s="297"/>
      <c r="E166" s="243">
        <v>99.4</v>
      </c>
      <c r="F166" s="296">
        <f>(E166/226.9/12)*100</f>
        <v>3.6506537387982965</v>
      </c>
      <c r="G166" s="298">
        <v>24.8</v>
      </c>
      <c r="H166" s="299">
        <v>24.9</v>
      </c>
      <c r="I166" s="298">
        <v>24.8</v>
      </c>
      <c r="J166" s="129">
        <v>24.9</v>
      </c>
      <c r="K166" s="132">
        <f t="shared" si="23"/>
        <v>74.5</v>
      </c>
      <c r="L166" s="127">
        <f t="shared" si="24"/>
        <v>3.6482052788795851</v>
      </c>
      <c r="M166" s="359"/>
      <c r="N166" s="25"/>
    </row>
    <row r="167" spans="1:14" ht="12.75" x14ac:dyDescent="0.2">
      <c r="A167" s="123"/>
      <c r="B167" s="124" t="s">
        <v>76</v>
      </c>
      <c r="C167" s="26">
        <v>180</v>
      </c>
      <c r="D167" s="26">
        <f>(C167/226.9/12)*100</f>
        <v>6.6108417805200537</v>
      </c>
      <c r="E167" s="243">
        <v>94.7</v>
      </c>
      <c r="F167" s="296">
        <f>(E167/226.9/12)*100</f>
        <v>3.478037314529161</v>
      </c>
      <c r="G167" s="7">
        <v>23.7</v>
      </c>
      <c r="H167" s="8">
        <f>E167/4</f>
        <v>23.675000000000001</v>
      </c>
      <c r="I167" s="7">
        <f>E167/4</f>
        <v>23.675000000000001</v>
      </c>
      <c r="J167" s="300">
        <f>23.6</f>
        <v>23.6</v>
      </c>
      <c r="K167" s="81">
        <f t="shared" si="23"/>
        <v>71.05</v>
      </c>
      <c r="L167" s="127">
        <f t="shared" si="24"/>
        <v>3.4792615444885171</v>
      </c>
      <c r="M167" s="328">
        <v>117.6</v>
      </c>
      <c r="N167" s="26"/>
    </row>
    <row r="168" spans="1:14" ht="13.5" thickBot="1" x14ac:dyDescent="0.25">
      <c r="A168" s="123"/>
      <c r="B168" s="136" t="s">
        <v>72</v>
      </c>
      <c r="C168" s="400">
        <v>90.5</v>
      </c>
      <c r="D168" s="64">
        <f>(C168/226.9/12)*100</f>
        <v>3.3237843396503597</v>
      </c>
      <c r="E168" s="415">
        <v>137.6</v>
      </c>
      <c r="F168" s="416">
        <v>5</v>
      </c>
      <c r="G168" s="186">
        <f>E168/4</f>
        <v>34.4</v>
      </c>
      <c r="H168" s="185">
        <f>E168/4</f>
        <v>34.4</v>
      </c>
      <c r="I168" s="186">
        <f>E168/4</f>
        <v>34.4</v>
      </c>
      <c r="J168" s="185">
        <f>E168/4</f>
        <v>34.4</v>
      </c>
      <c r="K168" s="144">
        <f t="shared" si="23"/>
        <v>103.19999999999999</v>
      </c>
      <c r="L168" s="400">
        <f t="shared" si="24"/>
        <v>5.0536212722197735</v>
      </c>
      <c r="M168" s="329">
        <v>217.8</v>
      </c>
      <c r="N168" s="188"/>
    </row>
    <row r="169" spans="1:14" ht="12.75" x14ac:dyDescent="0.2">
      <c r="A169" s="123" t="s">
        <v>100</v>
      </c>
      <c r="B169" s="389" t="s">
        <v>77</v>
      </c>
      <c r="C169" s="390">
        <f>C170+C171+C172+C173</f>
        <v>116.9</v>
      </c>
      <c r="D169" s="24">
        <f>(C169/226.9/12)*100</f>
        <v>4.2933744674599676</v>
      </c>
      <c r="E169" s="391">
        <f>E170+E171+E172+E173</f>
        <v>105.39999999999999</v>
      </c>
      <c r="F169" s="38">
        <f t="shared" ref="F169:F179" si="25">(E169/226.9/12)*100</f>
        <v>3.8710151314822969</v>
      </c>
      <c r="G169" s="12">
        <f>G170+G171+G172+G173</f>
        <v>26.200000000000003</v>
      </c>
      <c r="H169" s="41">
        <v>26.4</v>
      </c>
      <c r="I169" s="12">
        <f>I170+I171+I172+I173</f>
        <v>26.274999999999999</v>
      </c>
      <c r="J169" s="41">
        <v>26.5</v>
      </c>
      <c r="K169" s="69">
        <f t="shared" si="23"/>
        <v>78.875</v>
      </c>
      <c r="L169" s="390">
        <f t="shared" si="24"/>
        <v>3.8624455217668081</v>
      </c>
      <c r="M169" s="327">
        <f>M170+M171+M172+M173</f>
        <v>202.89999999999998</v>
      </c>
      <c r="N169" s="24">
        <f>M169-K169</f>
        <v>124.02499999999998</v>
      </c>
    </row>
    <row r="170" spans="1:14" ht="12.75" x14ac:dyDescent="0.2">
      <c r="A170" s="227"/>
      <c r="B170" s="124" t="s">
        <v>69</v>
      </c>
      <c r="C170" s="127">
        <v>60</v>
      </c>
      <c r="D170" s="26">
        <f>(C170/226.9/12)*100</f>
        <v>2.2036139268400179</v>
      </c>
      <c r="E170" s="243">
        <v>39.799999999999997</v>
      </c>
      <c r="F170" s="296">
        <f t="shared" si="25"/>
        <v>1.4617305714705451</v>
      </c>
      <c r="G170" s="7">
        <v>9.9</v>
      </c>
      <c r="H170" s="8">
        <f>E170/4</f>
        <v>9.9499999999999993</v>
      </c>
      <c r="I170" s="7">
        <v>9.9</v>
      </c>
      <c r="J170" s="8">
        <v>10</v>
      </c>
      <c r="K170" s="132">
        <f t="shared" si="23"/>
        <v>29.75</v>
      </c>
      <c r="L170" s="127">
        <f t="shared" si="24"/>
        <v>1.4568336516331226</v>
      </c>
      <c r="M170" s="359">
        <v>63.8</v>
      </c>
      <c r="N170" s="25"/>
    </row>
    <row r="171" spans="1:14" ht="15.75" customHeight="1" x14ac:dyDescent="0.2">
      <c r="A171" s="227"/>
      <c r="B171" s="124" t="s">
        <v>70</v>
      </c>
      <c r="C171" s="127"/>
      <c r="D171" s="301"/>
      <c r="E171" s="243">
        <v>11.9</v>
      </c>
      <c r="F171" s="296">
        <f t="shared" si="25"/>
        <v>0.43705009548993684</v>
      </c>
      <c r="G171" s="7">
        <v>2.9</v>
      </c>
      <c r="H171" s="8">
        <v>3</v>
      </c>
      <c r="I171" s="7">
        <v>3</v>
      </c>
      <c r="J171" s="8">
        <v>3</v>
      </c>
      <c r="K171" s="81">
        <f t="shared" si="23"/>
        <v>8.9</v>
      </c>
      <c r="L171" s="127">
        <f t="shared" si="24"/>
        <v>0.43582586553058122</v>
      </c>
      <c r="M171" s="328"/>
      <c r="N171" s="26"/>
    </row>
    <row r="172" spans="1:14" ht="12.75" x14ac:dyDescent="0.2">
      <c r="A172" s="227"/>
      <c r="B172" s="124" t="s">
        <v>76</v>
      </c>
      <c r="C172" s="127">
        <v>21.7</v>
      </c>
      <c r="D172" s="26">
        <f>(C172/226.9/12)*100</f>
        <v>0.79697370354047303</v>
      </c>
      <c r="E172" s="243">
        <v>11.4</v>
      </c>
      <c r="F172" s="296">
        <f t="shared" si="25"/>
        <v>0.41868664609960332</v>
      </c>
      <c r="G172" s="7">
        <v>2.9</v>
      </c>
      <c r="H172" s="8">
        <f>E172/4</f>
        <v>2.85</v>
      </c>
      <c r="I172" s="7">
        <v>2.8</v>
      </c>
      <c r="J172" s="8">
        <v>2.8</v>
      </c>
      <c r="K172" s="132">
        <f t="shared" si="23"/>
        <v>8.5500000000000007</v>
      </c>
      <c r="L172" s="127">
        <f t="shared" si="24"/>
        <v>0.41868664609960338</v>
      </c>
      <c r="M172" s="328">
        <v>107.6</v>
      </c>
      <c r="N172" s="25"/>
    </row>
    <row r="173" spans="1:14" ht="13.5" thickBot="1" x14ac:dyDescent="0.25">
      <c r="A173" s="227"/>
      <c r="B173" s="136" t="s">
        <v>72</v>
      </c>
      <c r="C173" s="400">
        <v>35.200000000000003</v>
      </c>
      <c r="D173" s="64">
        <f>(C173/226.9/12)*100</f>
        <v>1.2927868370794771</v>
      </c>
      <c r="E173" s="415">
        <v>42.3</v>
      </c>
      <c r="F173" s="416">
        <f t="shared" si="25"/>
        <v>1.5535478184222122</v>
      </c>
      <c r="G173" s="140">
        <v>10.5</v>
      </c>
      <c r="H173" s="417">
        <v>10.5</v>
      </c>
      <c r="I173" s="140">
        <f>E173/4</f>
        <v>10.574999999999999</v>
      </c>
      <c r="J173" s="417">
        <v>10.7</v>
      </c>
      <c r="K173" s="139">
        <f t="shared" si="23"/>
        <v>31.574999999999999</v>
      </c>
      <c r="L173" s="400">
        <f t="shared" si="24"/>
        <v>1.5462024386660789</v>
      </c>
      <c r="M173" s="329">
        <v>31.5</v>
      </c>
      <c r="N173" s="64"/>
    </row>
    <row r="174" spans="1:14" ht="13.5" thickBot="1" x14ac:dyDescent="0.25">
      <c r="A174" s="123">
        <v>13.3</v>
      </c>
      <c r="B174" s="382" t="s">
        <v>78</v>
      </c>
      <c r="C174" s="355">
        <v>11.2</v>
      </c>
      <c r="D174" s="383">
        <f>(C174/226.9/12)*100</f>
        <v>0.4113412663434699</v>
      </c>
      <c r="E174" s="384">
        <v>7.4</v>
      </c>
      <c r="F174" s="387">
        <f t="shared" si="25"/>
        <v>0.2717790509769355</v>
      </c>
      <c r="G174" s="385">
        <v>1.9</v>
      </c>
      <c r="H174" s="386">
        <v>1.8</v>
      </c>
      <c r="I174" s="385">
        <v>1.9</v>
      </c>
      <c r="J174" s="386">
        <v>1.8</v>
      </c>
      <c r="K174" s="354">
        <f t="shared" si="23"/>
        <v>5.6</v>
      </c>
      <c r="L174" s="355">
        <f t="shared" si="24"/>
        <v>0.27422751089564662</v>
      </c>
      <c r="M174" s="345">
        <v>6</v>
      </c>
      <c r="N174" s="383">
        <f>M174-K174</f>
        <v>0.40000000000000036</v>
      </c>
    </row>
    <row r="175" spans="1:14" ht="12.75" x14ac:dyDescent="0.2">
      <c r="A175" s="123">
        <v>13.4</v>
      </c>
      <c r="B175" s="4" t="s">
        <v>204</v>
      </c>
      <c r="C175" s="63">
        <f>C176+C177+C178+C179</f>
        <v>207</v>
      </c>
      <c r="D175" s="295">
        <f>(C175/226.9/12)*100</f>
        <v>7.6024680475980615</v>
      </c>
      <c r="E175" s="244">
        <f>E176+E177+E178+E179</f>
        <v>239.6</v>
      </c>
      <c r="F175" s="39">
        <f t="shared" si="25"/>
        <v>8.7997649478478035</v>
      </c>
      <c r="G175" s="146">
        <v>59.9</v>
      </c>
      <c r="H175" s="251">
        <v>59.9</v>
      </c>
      <c r="I175" s="146">
        <f>E175/4</f>
        <v>59.9</v>
      </c>
      <c r="J175" s="251">
        <f>E175/4</f>
        <v>59.9</v>
      </c>
      <c r="K175" s="70">
        <f t="shared" si="23"/>
        <v>179.7</v>
      </c>
      <c r="L175" s="63">
        <f t="shared" si="24"/>
        <v>8.7997649478478035</v>
      </c>
      <c r="M175" s="330">
        <f>M176+M177+M178+M179</f>
        <v>177.1</v>
      </c>
      <c r="N175" s="295">
        <f>M175-K175</f>
        <v>-2.5999999999999943</v>
      </c>
    </row>
    <row r="176" spans="1:14" ht="12.75" x14ac:dyDescent="0.2">
      <c r="A176" s="145"/>
      <c r="B176" s="124" t="s">
        <v>69</v>
      </c>
      <c r="C176" s="127">
        <f>42.5+106.3</f>
        <v>148.80000000000001</v>
      </c>
      <c r="D176" s="26">
        <f>(C176/226.9/12)*100</f>
        <v>5.4649625385632445</v>
      </c>
      <c r="E176" s="243">
        <v>129.69999999999999</v>
      </c>
      <c r="F176" s="296">
        <f t="shared" si="25"/>
        <v>4.7634787718525038</v>
      </c>
      <c r="G176" s="7">
        <v>32.4</v>
      </c>
      <c r="H176" s="8">
        <v>32.4</v>
      </c>
      <c r="I176" s="7">
        <v>32.4</v>
      </c>
      <c r="J176" s="8">
        <v>32.5</v>
      </c>
      <c r="K176" s="132">
        <f t="shared" si="23"/>
        <v>97.199999999999989</v>
      </c>
      <c r="L176" s="127">
        <f t="shared" si="24"/>
        <v>4.7598060819744372</v>
      </c>
      <c r="M176" s="359">
        <v>145.19999999999999</v>
      </c>
      <c r="N176" s="25"/>
    </row>
    <row r="177" spans="1:14" ht="12.75" x14ac:dyDescent="0.2">
      <c r="A177" s="145"/>
      <c r="B177" s="124" t="s">
        <v>70</v>
      </c>
      <c r="C177" s="127"/>
      <c r="D177" s="301"/>
      <c r="E177" s="243">
        <v>38.9</v>
      </c>
      <c r="F177" s="296">
        <f t="shared" si="25"/>
        <v>1.4286763625679446</v>
      </c>
      <c r="G177" s="130">
        <v>9.6999999999999993</v>
      </c>
      <c r="H177" s="129">
        <v>9.6999999999999993</v>
      </c>
      <c r="I177" s="130">
        <v>9.6999999999999993</v>
      </c>
      <c r="J177" s="129">
        <v>9.8000000000000007</v>
      </c>
      <c r="K177" s="81">
        <f t="shared" si="23"/>
        <v>29.099999999999998</v>
      </c>
      <c r="L177" s="127">
        <f t="shared" si="24"/>
        <v>1.4250036726898778</v>
      </c>
      <c r="M177" s="328"/>
      <c r="N177" s="26"/>
    </row>
    <row r="178" spans="1:14" ht="12.75" x14ac:dyDescent="0.2">
      <c r="A178" s="145"/>
      <c r="B178" s="277" t="s">
        <v>76</v>
      </c>
      <c r="C178" s="282">
        <f>15.6+39.1</f>
        <v>54.7</v>
      </c>
      <c r="D178" s="26">
        <f>(C178/226.9/12)*100</f>
        <v>2.008961363302483</v>
      </c>
      <c r="E178" s="81">
        <v>37.1</v>
      </c>
      <c r="F178" s="296">
        <f t="shared" si="25"/>
        <v>1.3625679447627441</v>
      </c>
      <c r="G178" s="7">
        <f>E178/4</f>
        <v>9.2750000000000004</v>
      </c>
      <c r="H178" s="8">
        <f>E178/4</f>
        <v>9.2750000000000004</v>
      </c>
      <c r="I178" s="7">
        <v>9.3000000000000007</v>
      </c>
      <c r="J178" s="8">
        <v>9.1999999999999993</v>
      </c>
      <c r="K178" s="132">
        <f t="shared" si="23"/>
        <v>27.85</v>
      </c>
      <c r="L178" s="127">
        <f t="shared" si="24"/>
        <v>1.3637921747220998</v>
      </c>
      <c r="M178" s="328">
        <v>31.9</v>
      </c>
      <c r="N178" s="26"/>
    </row>
    <row r="179" spans="1:14" ht="12.75" x14ac:dyDescent="0.2">
      <c r="A179" s="290"/>
      <c r="B179" s="124" t="s">
        <v>72</v>
      </c>
      <c r="C179" s="26">
        <v>3.5</v>
      </c>
      <c r="D179" s="26">
        <f>(C179/226.9/12)*100</f>
        <v>0.12854414573233436</v>
      </c>
      <c r="E179" s="213">
        <v>33.9</v>
      </c>
      <c r="F179" s="296">
        <f t="shared" si="25"/>
        <v>1.2450418686646099</v>
      </c>
      <c r="G179" s="7">
        <v>8.5</v>
      </c>
      <c r="H179" s="8">
        <f>E179/4</f>
        <v>8.4749999999999996</v>
      </c>
      <c r="I179" s="7">
        <f>E179/4</f>
        <v>8.4749999999999996</v>
      </c>
      <c r="J179" s="8">
        <v>8.4</v>
      </c>
      <c r="K179" s="81">
        <f t="shared" si="23"/>
        <v>25.450000000000003</v>
      </c>
      <c r="L179" s="127">
        <f t="shared" si="24"/>
        <v>1.2462660986239655</v>
      </c>
      <c r="M179" s="324"/>
      <c r="N179" s="216"/>
    </row>
    <row r="180" spans="1:14" ht="13.5" thickBot="1" x14ac:dyDescent="0.25">
      <c r="A180" s="290"/>
      <c r="B180" s="136"/>
      <c r="C180" s="64"/>
      <c r="D180" s="138"/>
      <c r="E180" s="139"/>
      <c r="F180" s="412"/>
      <c r="G180" s="142"/>
      <c r="H180" s="141"/>
      <c r="I180" s="142"/>
      <c r="J180" s="275"/>
      <c r="K180" s="413"/>
      <c r="L180" s="414"/>
      <c r="M180" s="344"/>
      <c r="N180" s="136"/>
    </row>
    <row r="181" spans="1:14" ht="12.75" x14ac:dyDescent="0.2">
      <c r="A181" s="145">
        <v>14</v>
      </c>
      <c r="B181" s="20" t="s">
        <v>125</v>
      </c>
      <c r="C181" s="302"/>
      <c r="D181" s="217"/>
      <c r="E181" s="303"/>
      <c r="F181" s="304"/>
      <c r="G181" s="289"/>
      <c r="H181" s="250"/>
      <c r="I181" s="289"/>
      <c r="J181" s="250"/>
      <c r="K181" s="219"/>
      <c r="L181" s="192"/>
      <c r="M181" s="219"/>
      <c r="N181" s="216"/>
    </row>
    <row r="182" spans="1:14" ht="12.75" x14ac:dyDescent="0.2">
      <c r="A182" s="145"/>
      <c r="B182" s="20" t="s">
        <v>148</v>
      </c>
      <c r="C182" s="302"/>
      <c r="D182" s="217"/>
      <c r="E182" s="303"/>
      <c r="F182" s="304"/>
      <c r="G182" s="9"/>
      <c r="H182" s="11"/>
      <c r="I182" s="9"/>
      <c r="J182" s="11"/>
      <c r="K182" s="151"/>
      <c r="L182" s="152"/>
      <c r="M182" s="151"/>
      <c r="N182" s="124"/>
    </row>
    <row r="183" spans="1:14" ht="12.75" x14ac:dyDescent="0.2">
      <c r="A183" s="145"/>
      <c r="B183" s="216" t="s">
        <v>102</v>
      </c>
      <c r="C183" s="302"/>
      <c r="D183" s="217"/>
      <c r="E183" s="303"/>
      <c r="F183" s="304"/>
      <c r="G183" s="9"/>
      <c r="H183" s="11"/>
      <c r="I183" s="9"/>
      <c r="J183" s="11"/>
      <c r="K183" s="151"/>
      <c r="L183" s="152"/>
      <c r="M183" s="151"/>
      <c r="N183" s="124"/>
    </row>
    <row r="184" spans="1:14" ht="12.75" x14ac:dyDescent="0.2">
      <c r="A184" s="145"/>
      <c r="B184" s="20" t="s">
        <v>152</v>
      </c>
      <c r="C184" s="302"/>
      <c r="D184" s="217"/>
      <c r="E184" s="303"/>
      <c r="F184" s="304"/>
      <c r="G184" s="9"/>
      <c r="H184" s="11"/>
      <c r="I184" s="9"/>
      <c r="J184" s="11"/>
      <c r="K184" s="151"/>
      <c r="L184" s="152"/>
      <c r="M184" s="151"/>
      <c r="N184" s="124"/>
    </row>
    <row r="185" spans="1:14" ht="12.75" x14ac:dyDescent="0.2">
      <c r="A185" s="145"/>
      <c r="B185" s="216" t="s">
        <v>102</v>
      </c>
      <c r="C185" s="302"/>
      <c r="D185" s="217"/>
      <c r="E185" s="303"/>
      <c r="F185" s="304"/>
      <c r="G185" s="9"/>
      <c r="H185" s="11"/>
      <c r="I185" s="9"/>
      <c r="J185" s="11"/>
      <c r="K185" s="151"/>
      <c r="L185" s="152"/>
      <c r="M185" s="151"/>
      <c r="N185" s="124"/>
    </row>
    <row r="186" spans="1:14" ht="12.75" x14ac:dyDescent="0.2">
      <c r="A186" s="145"/>
      <c r="B186" s="20" t="s">
        <v>153</v>
      </c>
      <c r="C186" s="302">
        <v>760</v>
      </c>
      <c r="D186" s="217"/>
      <c r="E186" s="303"/>
      <c r="F186" s="304"/>
      <c r="G186" s="9"/>
      <c r="H186" s="11"/>
      <c r="I186" s="9"/>
      <c r="J186" s="11"/>
      <c r="K186" s="151"/>
      <c r="L186" s="152"/>
      <c r="M186" s="151"/>
      <c r="N186" s="124"/>
    </row>
    <row r="187" spans="1:14" ht="12.75" x14ac:dyDescent="0.2">
      <c r="A187" s="145"/>
      <c r="B187" s="216" t="s">
        <v>102</v>
      </c>
      <c r="C187" s="305">
        <v>105</v>
      </c>
      <c r="D187" s="217"/>
      <c r="E187" s="303"/>
      <c r="F187" s="304"/>
      <c r="G187" s="9"/>
      <c r="H187" s="11"/>
      <c r="I187" s="9"/>
      <c r="J187" s="11"/>
      <c r="K187" s="151"/>
      <c r="L187" s="152"/>
      <c r="M187" s="151"/>
      <c r="N187" s="124"/>
    </row>
    <row r="188" spans="1:14" ht="12.75" x14ac:dyDescent="0.2">
      <c r="A188" s="145"/>
      <c r="B188" s="20" t="s">
        <v>161</v>
      </c>
      <c r="C188" s="302"/>
      <c r="D188" s="217"/>
      <c r="E188" s="306">
        <v>722</v>
      </c>
      <c r="F188" s="304"/>
      <c r="G188" s="9"/>
      <c r="H188" s="11"/>
      <c r="I188" s="9"/>
      <c r="J188" s="11"/>
      <c r="K188" s="151"/>
      <c r="L188" s="152"/>
      <c r="M188" s="151"/>
      <c r="N188" s="124"/>
    </row>
    <row r="189" spans="1:14" ht="12.75" x14ac:dyDescent="0.2">
      <c r="A189" s="145"/>
      <c r="B189" s="216" t="s">
        <v>102</v>
      </c>
      <c r="C189" s="302"/>
      <c r="D189" s="217"/>
      <c r="E189" s="303">
        <v>100</v>
      </c>
      <c r="F189" s="304"/>
      <c r="G189" s="9"/>
      <c r="H189" s="11"/>
      <c r="I189" s="9"/>
      <c r="J189" s="11"/>
      <c r="K189" s="151"/>
      <c r="L189" s="152"/>
      <c r="M189" s="151"/>
      <c r="N189" s="124"/>
    </row>
    <row r="190" spans="1:14" ht="12.75" x14ac:dyDescent="0.2">
      <c r="A190" s="145"/>
      <c r="B190" s="20" t="s">
        <v>161</v>
      </c>
      <c r="C190" s="302"/>
      <c r="D190" s="217"/>
      <c r="E190" s="303"/>
      <c r="F190" s="304"/>
      <c r="G190" s="9"/>
      <c r="H190" s="11"/>
      <c r="I190" s="9"/>
      <c r="J190" s="11"/>
      <c r="K190" s="151"/>
      <c r="L190" s="152"/>
      <c r="M190" s="307">
        <v>726.3</v>
      </c>
      <c r="N190" s="124"/>
    </row>
    <row r="191" spans="1:14" ht="12.75" x14ac:dyDescent="0.2">
      <c r="A191" s="145"/>
      <c r="B191" s="216" t="s">
        <v>102</v>
      </c>
      <c r="C191" s="302"/>
      <c r="D191" s="217"/>
      <c r="E191" s="303"/>
      <c r="F191" s="304"/>
      <c r="G191" s="9"/>
      <c r="H191" s="11"/>
      <c r="I191" s="9"/>
      <c r="J191" s="11"/>
      <c r="K191" s="151"/>
      <c r="L191" s="152"/>
      <c r="M191" s="128">
        <v>0</v>
      </c>
      <c r="N191" s="124"/>
    </row>
    <row r="192" spans="1:14" ht="25.5" x14ac:dyDescent="0.2">
      <c r="A192" s="123">
        <v>15</v>
      </c>
      <c r="B192" s="287" t="s">
        <v>147</v>
      </c>
      <c r="C192" s="291">
        <v>1607</v>
      </c>
      <c r="D192" s="242"/>
      <c r="E192" s="308"/>
      <c r="F192" s="131"/>
      <c r="G192" s="9"/>
      <c r="H192" s="11"/>
      <c r="I192" s="9"/>
      <c r="J192" s="11"/>
      <c r="K192" s="151"/>
      <c r="L192" s="152"/>
      <c r="M192" s="151"/>
      <c r="N192" s="124"/>
    </row>
    <row r="193" spans="1:14" ht="12.75" x14ac:dyDescent="0.2">
      <c r="A193" s="123" t="s">
        <v>103</v>
      </c>
      <c r="B193" s="2" t="s">
        <v>104</v>
      </c>
      <c r="C193" s="291">
        <v>1030.8</v>
      </c>
      <c r="D193" s="148"/>
      <c r="E193" s="308"/>
      <c r="F193" s="131"/>
      <c r="G193" s="9"/>
      <c r="H193" s="11"/>
      <c r="I193" s="9"/>
      <c r="J193" s="11"/>
      <c r="K193" s="151"/>
      <c r="L193" s="152"/>
      <c r="M193" s="151"/>
      <c r="N193" s="124"/>
    </row>
    <row r="194" spans="1:14" ht="12.75" x14ac:dyDescent="0.2">
      <c r="A194" s="123" t="s">
        <v>105</v>
      </c>
      <c r="B194" s="124" t="s">
        <v>101</v>
      </c>
      <c r="C194" s="150">
        <v>506.8</v>
      </c>
      <c r="D194" s="148"/>
      <c r="E194" s="308"/>
      <c r="F194" s="131"/>
      <c r="G194" s="9"/>
      <c r="H194" s="11"/>
      <c r="I194" s="9"/>
      <c r="J194" s="11"/>
      <c r="K194" s="151"/>
      <c r="L194" s="152"/>
      <c r="M194" s="151"/>
      <c r="N194" s="124"/>
    </row>
    <row r="195" spans="1:14" ht="12.75" x14ac:dyDescent="0.2">
      <c r="A195" s="123" t="s">
        <v>106</v>
      </c>
      <c r="B195" s="124" t="s">
        <v>107</v>
      </c>
      <c r="C195" s="150">
        <v>524</v>
      </c>
      <c r="D195" s="148"/>
      <c r="E195" s="308"/>
      <c r="F195" s="131"/>
      <c r="G195" s="9"/>
      <c r="H195" s="11"/>
      <c r="I195" s="9"/>
      <c r="J195" s="11"/>
      <c r="K195" s="151"/>
      <c r="L195" s="152"/>
      <c r="M195" s="151"/>
      <c r="N195" s="124"/>
    </row>
    <row r="196" spans="1:14" ht="12.75" x14ac:dyDescent="0.2">
      <c r="A196" s="123" t="s">
        <v>108</v>
      </c>
      <c r="B196" s="2" t="s">
        <v>109</v>
      </c>
      <c r="C196" s="291">
        <v>576.20000000000005</v>
      </c>
      <c r="D196" s="148"/>
      <c r="E196" s="308"/>
      <c r="F196" s="131"/>
      <c r="G196" s="9"/>
      <c r="H196" s="11"/>
      <c r="I196" s="9"/>
      <c r="J196" s="11"/>
      <c r="K196" s="151"/>
      <c r="L196" s="152"/>
      <c r="M196" s="151"/>
      <c r="N196" s="124"/>
    </row>
    <row r="197" spans="1:14" ht="25.5" x14ac:dyDescent="0.2">
      <c r="A197" s="123">
        <v>16</v>
      </c>
      <c r="B197" s="287" t="s">
        <v>151</v>
      </c>
      <c r="C197" s="232">
        <v>1665</v>
      </c>
      <c r="D197" s="148"/>
      <c r="E197" s="308"/>
      <c r="F197" s="131"/>
      <c r="G197" s="9"/>
      <c r="H197" s="11"/>
      <c r="I197" s="9"/>
      <c r="J197" s="11"/>
      <c r="K197" s="151"/>
      <c r="L197" s="152"/>
      <c r="M197" s="151"/>
      <c r="N197" s="124"/>
    </row>
    <row r="198" spans="1:14" ht="12.75" x14ac:dyDescent="0.2">
      <c r="A198" s="123" t="s">
        <v>113</v>
      </c>
      <c r="B198" s="2" t="s">
        <v>104</v>
      </c>
      <c r="C198" s="232">
        <v>1199</v>
      </c>
      <c r="D198" s="148"/>
      <c r="E198" s="308"/>
      <c r="F198" s="131"/>
      <c r="G198" s="9"/>
      <c r="H198" s="11"/>
      <c r="I198" s="9"/>
      <c r="J198" s="11"/>
      <c r="K198" s="151"/>
      <c r="L198" s="152"/>
      <c r="M198" s="151"/>
      <c r="N198" s="124"/>
    </row>
    <row r="199" spans="1:14" ht="12.75" x14ac:dyDescent="0.2">
      <c r="A199" s="123" t="s">
        <v>114</v>
      </c>
      <c r="B199" s="124" t="s">
        <v>101</v>
      </c>
      <c r="C199" s="125">
        <v>538</v>
      </c>
      <c r="D199" s="148"/>
      <c r="E199" s="308"/>
      <c r="F199" s="131"/>
      <c r="G199" s="9"/>
      <c r="H199" s="11"/>
      <c r="I199" s="9"/>
      <c r="J199" s="11"/>
      <c r="K199" s="151"/>
      <c r="L199" s="152"/>
      <c r="M199" s="151"/>
      <c r="N199" s="124"/>
    </row>
    <row r="200" spans="1:14" ht="12.75" x14ac:dyDescent="0.2">
      <c r="A200" s="123" t="s">
        <v>115</v>
      </c>
      <c r="B200" s="124" t="s">
        <v>107</v>
      </c>
      <c r="C200" s="125">
        <v>661</v>
      </c>
      <c r="D200" s="148"/>
      <c r="E200" s="308"/>
      <c r="F200" s="131"/>
      <c r="G200" s="9"/>
      <c r="H200" s="11"/>
      <c r="I200" s="9"/>
      <c r="J200" s="11"/>
      <c r="K200" s="151"/>
      <c r="L200" s="152"/>
      <c r="M200" s="151"/>
      <c r="N200" s="124"/>
    </row>
    <row r="201" spans="1:14" ht="12.75" x14ac:dyDescent="0.2">
      <c r="A201" s="123" t="s">
        <v>116</v>
      </c>
      <c r="B201" s="2" t="s">
        <v>109</v>
      </c>
      <c r="C201" s="232">
        <v>466</v>
      </c>
      <c r="D201" s="148"/>
      <c r="E201" s="308"/>
      <c r="F201" s="131"/>
      <c r="G201" s="9"/>
      <c r="H201" s="11"/>
      <c r="I201" s="9"/>
      <c r="J201" s="11"/>
      <c r="K201" s="151"/>
      <c r="L201" s="152"/>
      <c r="M201" s="151"/>
      <c r="N201" s="124"/>
    </row>
    <row r="202" spans="1:14" ht="25.5" x14ac:dyDescent="0.2">
      <c r="A202" s="123">
        <v>17</v>
      </c>
      <c r="B202" s="287" t="s">
        <v>154</v>
      </c>
      <c r="C202" s="291">
        <v>1794</v>
      </c>
      <c r="D202" s="148"/>
      <c r="E202" s="308"/>
      <c r="F202" s="131"/>
      <c r="G202" s="9"/>
      <c r="H202" s="11"/>
      <c r="I202" s="9"/>
      <c r="J202" s="11"/>
      <c r="K202" s="151"/>
      <c r="L202" s="152"/>
      <c r="M202" s="151"/>
      <c r="N202" s="124"/>
    </row>
    <row r="203" spans="1:14" ht="12.75" x14ac:dyDescent="0.2">
      <c r="A203" s="123" t="s">
        <v>117</v>
      </c>
      <c r="B203" s="2" t="s">
        <v>104</v>
      </c>
      <c r="C203" s="258">
        <v>1189.9000000000001</v>
      </c>
      <c r="D203" s="245"/>
      <c r="E203" s="309"/>
      <c r="F203" s="131"/>
      <c r="G203" s="9"/>
      <c r="H203" s="11"/>
      <c r="I203" s="9"/>
      <c r="J203" s="11"/>
      <c r="K203" s="151"/>
      <c r="L203" s="152"/>
      <c r="M203" s="151"/>
      <c r="N203" s="124"/>
    </row>
    <row r="204" spans="1:14" ht="12.75" x14ac:dyDescent="0.2">
      <c r="A204" s="123" t="s">
        <v>118</v>
      </c>
      <c r="B204" s="124" t="s">
        <v>101</v>
      </c>
      <c r="C204" s="150">
        <v>514</v>
      </c>
      <c r="D204" s="148"/>
      <c r="E204" s="308"/>
      <c r="F204" s="131"/>
      <c r="G204" s="9"/>
      <c r="H204" s="11"/>
      <c r="I204" s="9"/>
      <c r="J204" s="11"/>
      <c r="K204" s="151"/>
      <c r="L204" s="152"/>
      <c r="M204" s="151"/>
      <c r="N204" s="124"/>
    </row>
    <row r="205" spans="1:14" ht="12.75" x14ac:dyDescent="0.2">
      <c r="A205" s="123" t="s">
        <v>119</v>
      </c>
      <c r="B205" s="124" t="s">
        <v>107</v>
      </c>
      <c r="C205" s="150">
        <v>675.9</v>
      </c>
      <c r="D205" s="148"/>
      <c r="E205" s="308"/>
      <c r="F205" s="131"/>
      <c r="G205" s="9"/>
      <c r="H205" s="11"/>
      <c r="I205" s="9"/>
      <c r="J205" s="11"/>
      <c r="K205" s="151"/>
      <c r="L205" s="152"/>
      <c r="M205" s="151"/>
      <c r="N205" s="124"/>
    </row>
    <row r="206" spans="1:14" ht="12.75" x14ac:dyDescent="0.2">
      <c r="A206" s="123" t="s">
        <v>120</v>
      </c>
      <c r="B206" s="2" t="s">
        <v>109</v>
      </c>
      <c r="C206" s="291">
        <v>604.1</v>
      </c>
      <c r="D206" s="242"/>
      <c r="E206" s="310"/>
      <c r="F206" s="131"/>
      <c r="G206" s="9"/>
      <c r="H206" s="11"/>
      <c r="I206" s="9"/>
      <c r="J206" s="11"/>
      <c r="K206" s="151"/>
      <c r="L206" s="152"/>
      <c r="M206" s="151"/>
      <c r="N206" s="124"/>
    </row>
    <row r="207" spans="1:14" ht="25.5" x14ac:dyDescent="0.2">
      <c r="A207" s="123">
        <v>18</v>
      </c>
      <c r="B207" s="287" t="s">
        <v>203</v>
      </c>
      <c r="C207" s="291"/>
      <c r="D207" s="242"/>
      <c r="E207" s="310"/>
      <c r="F207" s="131"/>
      <c r="G207" s="9"/>
      <c r="H207" s="11"/>
      <c r="I207" s="9"/>
      <c r="J207" s="11"/>
      <c r="K207" s="151"/>
      <c r="L207" s="152"/>
      <c r="M207" s="220">
        <v>1862</v>
      </c>
      <c r="N207" s="124"/>
    </row>
    <row r="208" spans="1:14" ht="12.75" x14ac:dyDescent="0.2">
      <c r="A208" s="123" t="s">
        <v>155</v>
      </c>
      <c r="B208" s="2" t="s">
        <v>104</v>
      </c>
      <c r="C208" s="291"/>
      <c r="D208" s="242"/>
      <c r="E208" s="310"/>
      <c r="F208" s="131"/>
      <c r="G208" s="9"/>
      <c r="H208" s="11"/>
      <c r="I208" s="9"/>
      <c r="J208" s="11"/>
      <c r="K208" s="151"/>
      <c r="L208" s="152"/>
      <c r="M208" s="233">
        <v>1279.3</v>
      </c>
      <c r="N208" s="124"/>
    </row>
    <row r="209" spans="1:14" ht="12.75" x14ac:dyDescent="0.2">
      <c r="A209" s="123" t="s">
        <v>156</v>
      </c>
      <c r="B209" s="124" t="s">
        <v>101</v>
      </c>
      <c r="C209" s="291"/>
      <c r="D209" s="242"/>
      <c r="E209" s="310"/>
      <c r="F209" s="131"/>
      <c r="G209" s="9"/>
      <c r="H209" s="11"/>
      <c r="I209" s="9"/>
      <c r="J209" s="11"/>
      <c r="K209" s="151"/>
      <c r="L209" s="152"/>
      <c r="M209" s="128">
        <v>902.9</v>
      </c>
      <c r="N209" s="124"/>
    </row>
    <row r="210" spans="1:14" ht="12.75" x14ac:dyDescent="0.2">
      <c r="A210" s="123" t="s">
        <v>157</v>
      </c>
      <c r="B210" s="124" t="s">
        <v>107</v>
      </c>
      <c r="C210" s="291"/>
      <c r="D210" s="242"/>
      <c r="E210" s="310"/>
      <c r="F210" s="131"/>
      <c r="G210" s="9"/>
      <c r="H210" s="11"/>
      <c r="I210" s="9"/>
      <c r="J210" s="11"/>
      <c r="K210" s="151"/>
      <c r="L210" s="152"/>
      <c r="M210" s="128">
        <v>376.4</v>
      </c>
      <c r="N210" s="124"/>
    </row>
    <row r="211" spans="1:14" ht="12.75" x14ac:dyDescent="0.2">
      <c r="A211" s="123" t="s">
        <v>158</v>
      </c>
      <c r="B211" s="2" t="s">
        <v>109</v>
      </c>
      <c r="C211" s="291"/>
      <c r="D211" s="242"/>
      <c r="E211" s="310"/>
      <c r="F211" s="131"/>
      <c r="G211" s="9"/>
      <c r="H211" s="11"/>
      <c r="I211" s="9"/>
      <c r="J211" s="11"/>
      <c r="K211" s="151"/>
      <c r="L211" s="152"/>
      <c r="M211" s="233">
        <v>582.70000000000005</v>
      </c>
      <c r="N211" s="124"/>
    </row>
    <row r="212" spans="1:14" ht="25.5" x14ac:dyDescent="0.2">
      <c r="A212" s="123">
        <v>18</v>
      </c>
      <c r="B212" s="287" t="s">
        <v>162</v>
      </c>
      <c r="C212" s="150"/>
      <c r="D212" s="148"/>
      <c r="E212" s="234">
        <v>1704</v>
      </c>
      <c r="F212" s="131"/>
      <c r="G212" s="9"/>
      <c r="H212" s="11"/>
      <c r="I212" s="9"/>
      <c r="J212" s="11"/>
      <c r="K212" s="151"/>
      <c r="L212" s="152"/>
      <c r="M212" s="71">
        <v>1959</v>
      </c>
      <c r="N212" s="124"/>
    </row>
    <row r="213" spans="1:14" ht="12.75" x14ac:dyDescent="0.2">
      <c r="A213" s="123" t="s">
        <v>155</v>
      </c>
      <c r="B213" s="2" t="s">
        <v>104</v>
      </c>
      <c r="C213" s="150"/>
      <c r="D213" s="148"/>
      <c r="E213" s="230">
        <v>1130.4000000000001</v>
      </c>
      <c r="F213" s="131"/>
      <c r="G213" s="9"/>
      <c r="H213" s="11"/>
      <c r="I213" s="9"/>
      <c r="J213" s="11"/>
      <c r="K213" s="151"/>
      <c r="L213" s="152"/>
      <c r="M213" s="71">
        <v>1279.3</v>
      </c>
      <c r="N213" s="124"/>
    </row>
    <row r="214" spans="1:14" ht="12.75" x14ac:dyDescent="0.2">
      <c r="A214" s="123" t="s">
        <v>156</v>
      </c>
      <c r="B214" s="124" t="s">
        <v>101</v>
      </c>
      <c r="C214" s="150"/>
      <c r="D214" s="148"/>
      <c r="E214" s="311">
        <v>488.3</v>
      </c>
      <c r="F214" s="131"/>
      <c r="G214" s="9"/>
      <c r="H214" s="11"/>
      <c r="I214" s="9"/>
      <c r="J214" s="11"/>
      <c r="K214" s="151"/>
      <c r="L214" s="152"/>
      <c r="M214" s="71">
        <v>579</v>
      </c>
      <c r="N214" s="124"/>
    </row>
    <row r="215" spans="1:14" ht="12.75" x14ac:dyDescent="0.2">
      <c r="A215" s="123" t="s">
        <v>157</v>
      </c>
      <c r="B215" s="124" t="s">
        <v>107</v>
      </c>
      <c r="C215" s="150"/>
      <c r="D215" s="148"/>
      <c r="E215" s="311">
        <v>642.4</v>
      </c>
      <c r="F215" s="131"/>
      <c r="G215" s="9"/>
      <c r="H215" s="11"/>
      <c r="I215" s="9"/>
      <c r="J215" s="11"/>
      <c r="K215" s="151"/>
      <c r="L215" s="152"/>
      <c r="M215" s="71">
        <v>797</v>
      </c>
      <c r="N215" s="124"/>
    </row>
    <row r="216" spans="1:14" ht="12.75" x14ac:dyDescent="0.2">
      <c r="A216" s="123" t="s">
        <v>158</v>
      </c>
      <c r="B216" s="2" t="s">
        <v>109</v>
      </c>
      <c r="C216" s="150"/>
      <c r="D216" s="148"/>
      <c r="E216" s="234">
        <v>573.9</v>
      </c>
      <c r="F216" s="131"/>
      <c r="G216" s="9"/>
      <c r="H216" s="11"/>
      <c r="I216" s="9"/>
      <c r="J216" s="11"/>
      <c r="K216" s="151"/>
      <c r="L216" s="152"/>
      <c r="M216" s="71">
        <v>583</v>
      </c>
      <c r="N216" s="124"/>
    </row>
    <row r="217" spans="1:14" ht="12.75" x14ac:dyDescent="0.2">
      <c r="A217" s="123">
        <v>19</v>
      </c>
      <c r="B217" s="2" t="s">
        <v>110</v>
      </c>
      <c r="C217" s="291">
        <v>60</v>
      </c>
      <c r="D217" s="242"/>
      <c r="E217" s="310">
        <v>70</v>
      </c>
      <c r="F217" s="131"/>
      <c r="G217" s="58">
        <v>70</v>
      </c>
      <c r="H217" s="59">
        <v>70</v>
      </c>
      <c r="I217" s="58">
        <v>70</v>
      </c>
      <c r="J217" s="59">
        <v>70</v>
      </c>
      <c r="K217" s="82"/>
      <c r="L217" s="54"/>
      <c r="M217" s="233">
        <v>58</v>
      </c>
      <c r="N217" s="124"/>
    </row>
    <row r="218" spans="1:14" ht="12.75" x14ac:dyDescent="0.2">
      <c r="A218" s="123"/>
      <c r="B218" s="2" t="s">
        <v>111</v>
      </c>
      <c r="C218" s="150">
        <v>16</v>
      </c>
      <c r="D218" s="148"/>
      <c r="E218" s="308">
        <v>15</v>
      </c>
      <c r="F218" s="131"/>
      <c r="G218" s="130">
        <v>15</v>
      </c>
      <c r="H218" s="129">
        <v>15</v>
      </c>
      <c r="I218" s="130">
        <v>15</v>
      </c>
      <c r="J218" s="129">
        <v>15</v>
      </c>
      <c r="K218" s="151"/>
      <c r="L218" s="152"/>
      <c r="M218" s="128">
        <v>15</v>
      </c>
      <c r="N218" s="124"/>
    </row>
    <row r="219" spans="1:14" ht="12.75" x14ac:dyDescent="0.2">
      <c r="A219" s="123">
        <v>20</v>
      </c>
      <c r="B219" s="2" t="s">
        <v>112</v>
      </c>
      <c r="C219" s="291">
        <v>2807</v>
      </c>
      <c r="D219" s="242"/>
      <c r="E219" s="310">
        <v>2755</v>
      </c>
      <c r="F219" s="131"/>
      <c r="G219" s="58">
        <v>2728</v>
      </c>
      <c r="H219" s="59">
        <v>2749</v>
      </c>
      <c r="I219" s="58">
        <v>2760</v>
      </c>
      <c r="J219" s="59">
        <v>2781</v>
      </c>
      <c r="K219" s="151"/>
      <c r="L219" s="152"/>
      <c r="M219" s="233">
        <v>3510</v>
      </c>
      <c r="N219" s="124"/>
    </row>
    <row r="220" spans="1:14" ht="12.75" x14ac:dyDescent="0.2">
      <c r="A220" s="123"/>
      <c r="B220" s="2" t="s">
        <v>111</v>
      </c>
      <c r="C220" s="150">
        <v>3103.6</v>
      </c>
      <c r="D220" s="148"/>
      <c r="E220" s="308">
        <v>2836</v>
      </c>
      <c r="F220" s="131"/>
      <c r="G220" s="130">
        <v>2836</v>
      </c>
      <c r="H220" s="129">
        <v>2836</v>
      </c>
      <c r="I220" s="130">
        <v>2836</v>
      </c>
      <c r="J220" s="129">
        <v>2836</v>
      </c>
      <c r="K220" s="151"/>
      <c r="L220" s="152"/>
      <c r="M220" s="128">
        <v>3240</v>
      </c>
      <c r="N220" s="124"/>
    </row>
    <row r="221" spans="1:14" ht="12.75" x14ac:dyDescent="0.2">
      <c r="A221" s="123">
        <v>21</v>
      </c>
      <c r="B221" s="2" t="s">
        <v>126</v>
      </c>
      <c r="C221" s="291">
        <v>226.9</v>
      </c>
      <c r="D221" s="242"/>
      <c r="E221" s="310">
        <v>226.9</v>
      </c>
      <c r="F221" s="131"/>
      <c r="G221" s="58">
        <v>226.9</v>
      </c>
      <c r="H221" s="59">
        <v>226.9</v>
      </c>
      <c r="I221" s="58">
        <v>226.9</v>
      </c>
      <c r="J221" s="59">
        <v>226.9</v>
      </c>
      <c r="K221" s="151"/>
      <c r="L221" s="152"/>
      <c r="M221" s="233">
        <v>225.3</v>
      </c>
      <c r="N221" s="124"/>
    </row>
    <row r="222" spans="1:14" ht="12.75" x14ac:dyDescent="0.2">
      <c r="A222" s="123"/>
      <c r="B222" s="124" t="s">
        <v>79</v>
      </c>
      <c r="C222" s="150">
        <v>2.8</v>
      </c>
      <c r="D222" s="148"/>
      <c r="E222" s="308">
        <v>2.8</v>
      </c>
      <c r="F222" s="131"/>
      <c r="G222" s="130">
        <v>2.8</v>
      </c>
      <c r="H222" s="129">
        <v>2.8</v>
      </c>
      <c r="I222" s="130">
        <v>2.8</v>
      </c>
      <c r="J222" s="129">
        <v>2.8</v>
      </c>
      <c r="K222" s="151"/>
      <c r="L222" s="152"/>
      <c r="M222" s="128">
        <v>2.8</v>
      </c>
      <c r="N222" s="124"/>
    </row>
    <row r="223" spans="1:14" ht="12.75" x14ac:dyDescent="0.2">
      <c r="A223" s="123">
        <v>22</v>
      </c>
      <c r="B223" s="2" t="s">
        <v>127</v>
      </c>
      <c r="C223" s="291">
        <v>2</v>
      </c>
      <c r="D223" s="242"/>
      <c r="E223" s="310">
        <v>2</v>
      </c>
      <c r="F223" s="131"/>
      <c r="G223" s="58">
        <v>2</v>
      </c>
      <c r="H223" s="59">
        <v>2</v>
      </c>
      <c r="I223" s="58">
        <v>2</v>
      </c>
      <c r="J223" s="59">
        <v>2</v>
      </c>
      <c r="K223" s="151"/>
      <c r="L223" s="152"/>
      <c r="M223" s="233">
        <v>2</v>
      </c>
      <c r="N223" s="124"/>
    </row>
    <row r="224" spans="1:14" ht="12.75" x14ac:dyDescent="0.2">
      <c r="A224" s="123">
        <v>23</v>
      </c>
      <c r="B224" s="2" t="s">
        <v>121</v>
      </c>
      <c r="C224" s="291">
        <v>4050.1</v>
      </c>
      <c r="D224" s="242"/>
      <c r="E224" s="308"/>
      <c r="F224" s="131"/>
      <c r="G224" s="9"/>
      <c r="H224" s="11"/>
      <c r="I224" s="9"/>
      <c r="J224" s="11"/>
      <c r="K224" s="151"/>
      <c r="L224" s="152"/>
      <c r="M224" s="233">
        <v>4194.5</v>
      </c>
      <c r="N224" s="124"/>
    </row>
    <row r="225" spans="1:14" ht="12.75" x14ac:dyDescent="0.2">
      <c r="A225" s="123"/>
      <c r="B225" s="124" t="s">
        <v>80</v>
      </c>
      <c r="C225" s="150">
        <v>2513.1999999999998</v>
      </c>
      <c r="D225" s="148"/>
      <c r="E225" s="308"/>
      <c r="F225" s="131"/>
      <c r="G225" s="9"/>
      <c r="H225" s="11"/>
      <c r="I225" s="9"/>
      <c r="J225" s="11"/>
      <c r="K225" s="151"/>
      <c r="L225" s="152"/>
      <c r="M225" s="128">
        <v>2225.1999999999998</v>
      </c>
      <c r="N225" s="124"/>
    </row>
    <row r="226" spans="1:14" ht="12.75" x14ac:dyDescent="0.2">
      <c r="A226" s="123"/>
      <c r="B226" s="124" t="s">
        <v>81</v>
      </c>
      <c r="C226" s="150">
        <v>2237.4</v>
      </c>
      <c r="D226" s="148"/>
      <c r="E226" s="308"/>
      <c r="F226" s="131"/>
      <c r="G226" s="9"/>
      <c r="H226" s="11"/>
      <c r="I226" s="9"/>
      <c r="J226" s="11"/>
      <c r="K226" s="151"/>
      <c r="L226" s="152"/>
      <c r="M226" s="128">
        <v>1759.4</v>
      </c>
      <c r="N226" s="124"/>
    </row>
    <row r="227" spans="1:14" ht="12.75" x14ac:dyDescent="0.2">
      <c r="A227" s="123"/>
      <c r="B227" s="124" t="s">
        <v>82</v>
      </c>
      <c r="C227" s="150">
        <v>154.6</v>
      </c>
      <c r="D227" s="148"/>
      <c r="E227" s="308"/>
      <c r="F227" s="131"/>
      <c r="G227" s="9"/>
      <c r="H227" s="11"/>
      <c r="I227" s="9"/>
      <c r="J227" s="11"/>
      <c r="K227" s="151"/>
      <c r="L227" s="152"/>
      <c r="M227" s="128">
        <v>381</v>
      </c>
      <c r="N227" s="124"/>
    </row>
    <row r="228" spans="1:14" ht="12.75" x14ac:dyDescent="0.2">
      <c r="A228" s="123"/>
      <c r="B228" s="124" t="s">
        <v>83</v>
      </c>
      <c r="C228" s="150">
        <v>121.2</v>
      </c>
      <c r="D228" s="148"/>
      <c r="E228" s="308"/>
      <c r="F228" s="131"/>
      <c r="G228" s="9"/>
      <c r="H228" s="11"/>
      <c r="I228" s="9"/>
      <c r="J228" s="11"/>
      <c r="K228" s="151"/>
      <c r="L228" s="152"/>
      <c r="M228" s="128">
        <v>84.4</v>
      </c>
      <c r="N228" s="124"/>
    </row>
    <row r="229" spans="1:14" ht="13.5" thickBot="1" x14ac:dyDescent="0.25">
      <c r="A229" s="189"/>
      <c r="B229" s="94" t="s">
        <v>195</v>
      </c>
      <c r="C229" s="312"/>
      <c r="D229" s="94"/>
      <c r="E229" s="313"/>
      <c r="F229" s="98"/>
      <c r="G229" s="275"/>
      <c r="H229" s="274"/>
      <c r="I229" s="275"/>
      <c r="J229" s="276"/>
      <c r="K229" s="177"/>
      <c r="L229" s="206"/>
      <c r="M229" s="205">
        <v>262.60000000000002</v>
      </c>
      <c r="N229" s="277"/>
    </row>
    <row r="230" spans="1:14" ht="30" customHeight="1" thickBot="1" x14ac:dyDescent="0.25">
      <c r="A230" s="135">
        <v>24</v>
      </c>
      <c r="B230" s="314" t="s">
        <v>128</v>
      </c>
      <c r="C230" s="117">
        <v>57837.05</v>
      </c>
      <c r="D230" s="315"/>
      <c r="E230" s="101"/>
      <c r="F230" s="316"/>
      <c r="G230" s="317"/>
      <c r="H230" s="274"/>
      <c r="I230" s="275"/>
      <c r="J230" s="276"/>
      <c r="K230" s="112"/>
      <c r="L230" s="281"/>
      <c r="M230" s="318">
        <v>83397.5</v>
      </c>
      <c r="N230" s="114"/>
    </row>
    <row r="231" spans="1:14" ht="12.75" x14ac:dyDescent="0.2">
      <c r="A231" s="50"/>
      <c r="B231" s="84"/>
      <c r="C231" s="312"/>
      <c r="D231" s="312"/>
      <c r="E231" s="313"/>
      <c r="F231" s="319"/>
      <c r="G231" s="88"/>
      <c r="H231" s="88"/>
      <c r="I231" s="88"/>
      <c r="J231" s="88"/>
      <c r="K231" s="86"/>
      <c r="L231" s="83"/>
      <c r="M231" s="86"/>
      <c r="N231" s="83"/>
    </row>
    <row r="232" spans="1:14" ht="12.75" x14ac:dyDescent="0.2">
      <c r="A232" s="83"/>
      <c r="B232" s="83"/>
      <c r="C232" s="83"/>
      <c r="D232" s="83"/>
      <c r="E232" s="86"/>
      <c r="F232" s="89"/>
      <c r="G232" s="89"/>
      <c r="H232" s="89"/>
      <c r="I232" s="89"/>
      <c r="J232" s="89"/>
      <c r="K232" s="86"/>
      <c r="L232" s="83"/>
      <c r="M232" s="86"/>
      <c r="N232" s="83"/>
    </row>
    <row r="233" spans="1:14" ht="12.75" x14ac:dyDescent="0.2">
      <c r="A233" s="83"/>
      <c r="B233" s="88" t="s">
        <v>199</v>
      </c>
      <c r="C233" s="83"/>
      <c r="D233" s="83"/>
      <c r="E233" s="86"/>
      <c r="F233" s="89"/>
      <c r="G233" s="89"/>
      <c r="H233" s="89"/>
      <c r="I233" s="89"/>
      <c r="J233" s="89"/>
      <c r="K233" s="86"/>
      <c r="L233" s="83"/>
      <c r="M233" s="86"/>
      <c r="N233" s="320"/>
    </row>
    <row r="234" spans="1:14" ht="22.5" customHeight="1" x14ac:dyDescent="0.2">
      <c r="B234" s="5" t="s">
        <v>197</v>
      </c>
      <c r="N234" s="321"/>
    </row>
    <row r="235" spans="1:14" x14ac:dyDescent="0.2">
      <c r="B235" s="5"/>
    </row>
    <row r="239" spans="1:14" x14ac:dyDescent="0.2">
      <c r="F239" s="6" t="s">
        <v>205</v>
      </c>
    </row>
  </sheetData>
  <sheetCalcPr fullCalcOnLoad="1"/>
  <mergeCells count="11">
    <mergeCell ref="L7:L8"/>
    <mergeCell ref="M7:M8"/>
    <mergeCell ref="N7:N8"/>
    <mergeCell ref="F1:J1"/>
    <mergeCell ref="F2:J2"/>
    <mergeCell ref="F3:J3"/>
    <mergeCell ref="E7:J8"/>
    <mergeCell ref="B5:N5"/>
    <mergeCell ref="B7:B8"/>
    <mergeCell ref="C7:D7"/>
    <mergeCell ref="K7:K8"/>
  </mergeCells>
  <phoneticPr fontId="0" type="noConversion"/>
  <pageMargins left="0.19685039370078741" right="0.19685039370078741" top="0.39370078740157483" bottom="0.19685039370078741" header="0.11811023622047245" footer="0.11811023622047245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виконання 9міс.</vt:lpstr>
      <vt:lpstr>'виконання 9міс.'!Заголовки_для_печати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2017-03-20T17:45:24Z</cp:lastPrinted>
  <dcterms:created xsi:type="dcterms:W3CDTF">1996-10-08T23:32:33Z</dcterms:created>
  <dcterms:modified xsi:type="dcterms:W3CDTF">2017-04-10T14:23:03Z</dcterms:modified>
</cp:coreProperties>
</file>