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fin\"/>
    </mc:Choice>
  </mc:AlternateContent>
  <bookViews>
    <workbookView xWindow="120" yWindow="120" windowWidth="9720" windowHeight="7320"/>
  </bookViews>
  <sheets>
    <sheet name="2016р. " sheetId="5" r:id="rId1"/>
  </sheets>
  <definedNames>
    <definedName name="_xlnm.Print_Area" localSheetId="0">'2016р. '!$A$1:$P$224</definedName>
  </definedNames>
  <calcPr calcId="162913"/>
</workbook>
</file>

<file path=xl/calcChain.xml><?xml version="1.0" encoding="utf-8"?>
<calcChain xmlns="http://schemas.openxmlformats.org/spreadsheetml/2006/main">
  <c r="M151" i="5" l="1"/>
  <c r="M150" i="5"/>
  <c r="M144" i="5"/>
  <c r="M136" i="5"/>
  <c r="M209" i="5"/>
  <c r="M208" i="5"/>
  <c r="M207" i="5"/>
  <c r="M206" i="5"/>
  <c r="M203" i="5"/>
  <c r="M201" i="5"/>
  <c r="K154" i="5"/>
  <c r="M15" i="5"/>
  <c r="M98" i="5"/>
  <c r="M102" i="5"/>
  <c r="M41" i="5" s="1"/>
  <c r="K15" i="5"/>
  <c r="K98" i="5"/>
  <c r="K102" i="5"/>
  <c r="M24" i="5"/>
  <c r="M21" i="5" s="1"/>
  <c r="M34" i="5"/>
  <c r="M30" i="5" s="1"/>
  <c r="M13" i="5"/>
  <c r="O13" i="5" s="1"/>
  <c r="M36" i="5"/>
  <c r="M35" i="5"/>
  <c r="O35" i="5" s="1"/>
  <c r="K21" i="5"/>
  <c r="K30" i="5"/>
  <c r="K13" i="5"/>
  <c r="K35" i="5"/>
  <c r="K41" i="5"/>
  <c r="D15" i="5"/>
  <c r="E15" i="5" s="1"/>
  <c r="D24" i="5"/>
  <c r="D21" i="5"/>
  <c r="E21" i="5" s="1"/>
  <c r="D30" i="5"/>
  <c r="D13" i="5"/>
  <c r="E13" i="5" s="1"/>
  <c r="F15" i="5"/>
  <c r="G15" i="5" s="1"/>
  <c r="F24" i="5"/>
  <c r="F21" i="5"/>
  <c r="F30" i="5"/>
  <c r="F13" i="5"/>
  <c r="G13" i="5" s="1"/>
  <c r="H13" i="5"/>
  <c r="I13" i="5" s="1"/>
  <c r="J17" i="5"/>
  <c r="J18" i="5"/>
  <c r="J16" i="5"/>
  <c r="J15" i="5" s="1"/>
  <c r="J22" i="5"/>
  <c r="U25" i="5"/>
  <c r="J25" i="5"/>
  <c r="J26" i="5"/>
  <c r="J27" i="5"/>
  <c r="J28" i="5"/>
  <c r="J24" i="5"/>
  <c r="J31" i="5"/>
  <c r="U34" i="5"/>
  <c r="J34" i="5"/>
  <c r="R19" i="5"/>
  <c r="R15" i="5"/>
  <c r="R24" i="5"/>
  <c r="R21" i="5"/>
  <c r="V21" i="5" s="1"/>
  <c r="W13" i="5" s="1"/>
  <c r="X13" i="5" s="1"/>
  <c r="R30" i="5"/>
  <c r="R13" i="5"/>
  <c r="S19" i="5"/>
  <c r="S15" i="5"/>
  <c r="S24" i="5"/>
  <c r="S21" i="5"/>
  <c r="S30" i="5"/>
  <c r="S13" i="5"/>
  <c r="T19" i="5"/>
  <c r="T15" i="5"/>
  <c r="T13" i="5" s="1"/>
  <c r="T24" i="5"/>
  <c r="T21" i="5"/>
  <c r="T30" i="5"/>
  <c r="U19" i="5"/>
  <c r="U15" i="5"/>
  <c r="U24" i="5"/>
  <c r="U21" i="5"/>
  <c r="U30" i="5"/>
  <c r="U13" i="5"/>
  <c r="V30" i="5"/>
  <c r="I15" i="5"/>
  <c r="X16" i="5"/>
  <c r="X17" i="5"/>
  <c r="X18" i="5"/>
  <c r="X19" i="5"/>
  <c r="G21" i="5"/>
  <c r="I21" i="5"/>
  <c r="O21" i="5"/>
  <c r="X22" i="5"/>
  <c r="H26" i="5"/>
  <c r="H24" i="5" s="1"/>
  <c r="X25" i="5"/>
  <c r="E30" i="5"/>
  <c r="G30" i="5"/>
  <c r="I30" i="5"/>
  <c r="O30" i="5"/>
  <c r="X30" i="5"/>
  <c r="H33" i="5"/>
  <c r="J43" i="5"/>
  <c r="J42" i="5" s="1"/>
  <c r="J54" i="5"/>
  <c r="J53" i="5" s="1"/>
  <c r="J52" i="5" s="1"/>
  <c r="J62" i="5"/>
  <c r="J61" i="5"/>
  <c r="J72" i="5"/>
  <c r="J71" i="5"/>
  <c r="J70" i="5" s="1"/>
  <c r="J82" i="5"/>
  <c r="J81" i="5" s="1"/>
  <c r="J80" i="5" s="1"/>
  <c r="Q80" i="5" s="1"/>
  <c r="J96" i="5"/>
  <c r="J92" i="5"/>
  <c r="J89" i="5" s="1"/>
  <c r="J99" i="5"/>
  <c r="E35" i="5"/>
  <c r="G35" i="5"/>
  <c r="H35" i="5"/>
  <c r="I35" i="5" s="1"/>
  <c r="S37" i="5"/>
  <c r="S35" i="5" s="1"/>
  <c r="V35" i="5" s="1"/>
  <c r="D36" i="5"/>
  <c r="F36" i="5"/>
  <c r="J36" i="5"/>
  <c r="J39" i="5"/>
  <c r="D43" i="5"/>
  <c r="D155" i="5"/>
  <c r="D161" i="5"/>
  <c r="D168" i="5"/>
  <c r="D154" i="5"/>
  <c r="D153" i="5" s="1"/>
  <c r="D49" i="5"/>
  <c r="E49" i="5" s="1"/>
  <c r="D53" i="5"/>
  <c r="D71" i="5"/>
  <c r="D78" i="5"/>
  <c r="D70" i="5" s="1"/>
  <c r="D81" i="5"/>
  <c r="D99" i="5"/>
  <c r="D110" i="5"/>
  <c r="D104" i="5" s="1"/>
  <c r="F43" i="5"/>
  <c r="F42" i="5" s="1"/>
  <c r="F98" i="5" s="1"/>
  <c r="F52" i="5"/>
  <c r="F76" i="5"/>
  <c r="F71" i="5"/>
  <c r="F70" i="5" s="1"/>
  <c r="F81" i="5"/>
  <c r="F80" i="5" s="1"/>
  <c r="F104" i="5"/>
  <c r="F122" i="5"/>
  <c r="F112" i="5"/>
  <c r="H43" i="5"/>
  <c r="H42" i="5"/>
  <c r="H52" i="5"/>
  <c r="H71" i="5"/>
  <c r="H70" i="5" s="1"/>
  <c r="H81" i="5"/>
  <c r="H80" i="5" s="1"/>
  <c r="H98" i="5" s="1"/>
  <c r="H99" i="5"/>
  <c r="H105" i="5"/>
  <c r="H107" i="5"/>
  <c r="H109" i="5"/>
  <c r="H104" i="5"/>
  <c r="H119" i="5"/>
  <c r="H122" i="5"/>
  <c r="H112" i="5" s="1"/>
  <c r="J110" i="5"/>
  <c r="J104" i="5" s="1"/>
  <c r="J114" i="5"/>
  <c r="J116" i="5" s="1"/>
  <c r="J119" i="5"/>
  <c r="J120" i="5"/>
  <c r="U121" i="5"/>
  <c r="J121" i="5"/>
  <c r="J122" i="5"/>
  <c r="O41" i="5"/>
  <c r="R44" i="5"/>
  <c r="R45" i="5"/>
  <c r="R43" i="5"/>
  <c r="R42" i="5" s="1"/>
  <c r="R55" i="5"/>
  <c r="R53" i="5" s="1"/>
  <c r="R52" i="5" s="1"/>
  <c r="R74" i="5"/>
  <c r="R71" i="5"/>
  <c r="R70" i="5" s="1"/>
  <c r="R87" i="5"/>
  <c r="R81" i="5" s="1"/>
  <c r="R80" i="5" s="1"/>
  <c r="R92" i="5"/>
  <c r="R89" i="5"/>
  <c r="R99" i="5"/>
  <c r="R109" i="5"/>
  <c r="R104" i="5" s="1"/>
  <c r="R112" i="5"/>
  <c r="X112" i="5" s="1"/>
  <c r="S44" i="5"/>
  <c r="S45" i="5"/>
  <c r="S43" i="5"/>
  <c r="S42" i="5" s="1"/>
  <c r="S55" i="5"/>
  <c r="S53" i="5" s="1"/>
  <c r="S52" i="5" s="1"/>
  <c r="S74" i="5"/>
  <c r="S71" i="5"/>
  <c r="S70" i="5" s="1"/>
  <c r="S87" i="5"/>
  <c r="S81" i="5" s="1"/>
  <c r="S80" i="5" s="1"/>
  <c r="S92" i="5"/>
  <c r="S89" i="5"/>
  <c r="S99" i="5"/>
  <c r="S109" i="5"/>
  <c r="S104" i="5" s="1"/>
  <c r="S112" i="5"/>
  <c r="T44" i="5"/>
  <c r="T45" i="5"/>
  <c r="T43" i="5"/>
  <c r="T42" i="5" s="1"/>
  <c r="T55" i="5"/>
  <c r="T53" i="5" s="1"/>
  <c r="T52" i="5" s="1"/>
  <c r="T74" i="5"/>
  <c r="T71" i="5"/>
  <c r="T70" i="5" s="1"/>
  <c r="T87" i="5"/>
  <c r="T81" i="5" s="1"/>
  <c r="T80" i="5" s="1"/>
  <c r="T92" i="5"/>
  <c r="T89" i="5"/>
  <c r="T99" i="5"/>
  <c r="T109" i="5"/>
  <c r="T104" i="5" s="1"/>
  <c r="T112" i="5"/>
  <c r="U44" i="5"/>
  <c r="U45" i="5"/>
  <c r="U43" i="5"/>
  <c r="U42" i="5" s="1"/>
  <c r="U55" i="5"/>
  <c r="U53" i="5" s="1"/>
  <c r="U52" i="5" s="1"/>
  <c r="U74" i="5"/>
  <c r="U71" i="5"/>
  <c r="U70" i="5" s="1"/>
  <c r="U87" i="5"/>
  <c r="U81" i="5" s="1"/>
  <c r="U80" i="5" s="1"/>
  <c r="U92" i="5"/>
  <c r="U89" i="5"/>
  <c r="U99" i="5"/>
  <c r="U110" i="5"/>
  <c r="U109" i="5" s="1"/>
  <c r="U104" i="5"/>
  <c r="V104" i="5" s="1"/>
  <c r="U122" i="5"/>
  <c r="U112" i="5"/>
  <c r="V42" i="5"/>
  <c r="V50" i="5"/>
  <c r="V51" i="5"/>
  <c r="V69" i="5"/>
  <c r="V89" i="5"/>
  <c r="W89" i="5" s="1"/>
  <c r="V99" i="5"/>
  <c r="V103" i="5"/>
  <c r="V112" i="5"/>
  <c r="I42" i="5"/>
  <c r="O42" i="5"/>
  <c r="Q42" i="5"/>
  <c r="W42" i="5"/>
  <c r="X42" i="5"/>
  <c r="E43" i="5"/>
  <c r="G43" i="5"/>
  <c r="I43" i="5"/>
  <c r="K44" i="5"/>
  <c r="K43" i="5" s="1"/>
  <c r="K45" i="5"/>
  <c r="K46" i="5"/>
  <c r="K47" i="5"/>
  <c r="K48" i="5"/>
  <c r="Q43" i="5"/>
  <c r="V43" i="5"/>
  <c r="W43" i="5"/>
  <c r="X43" i="5"/>
  <c r="V44" i="5"/>
  <c r="W44" i="5" s="1"/>
  <c r="X44" i="5"/>
  <c r="V45" i="5"/>
  <c r="W45" i="5"/>
  <c r="X45" i="5"/>
  <c r="V46" i="5"/>
  <c r="W46" i="5" s="1"/>
  <c r="X46" i="5"/>
  <c r="V47" i="5"/>
  <c r="W47" i="5"/>
  <c r="X47" i="5"/>
  <c r="V48" i="5"/>
  <c r="W48" i="5" s="1"/>
  <c r="X48" i="5"/>
  <c r="G49" i="5"/>
  <c r="I49" i="5"/>
  <c r="K49" i="5"/>
  <c r="Q49" i="5"/>
  <c r="V49" i="5"/>
  <c r="W49" i="5" s="1"/>
  <c r="X49" i="5"/>
  <c r="E50" i="5"/>
  <c r="G50" i="5"/>
  <c r="I50" i="5"/>
  <c r="O50" i="5"/>
  <c r="Q50" i="5"/>
  <c r="W50" i="5"/>
  <c r="X50" i="5"/>
  <c r="E51" i="5"/>
  <c r="G51" i="5"/>
  <c r="I51" i="5"/>
  <c r="O51" i="5"/>
  <c r="Q51" i="5"/>
  <c r="W51" i="5"/>
  <c r="X51" i="5"/>
  <c r="G52" i="5"/>
  <c r="I52" i="5"/>
  <c r="O52" i="5"/>
  <c r="E53" i="5"/>
  <c r="G53" i="5"/>
  <c r="I53" i="5"/>
  <c r="Q53" i="5"/>
  <c r="F54" i="5"/>
  <c r="K54" i="5"/>
  <c r="Q54" i="5"/>
  <c r="V54" i="5"/>
  <c r="W54" i="5"/>
  <c r="X54" i="5"/>
  <c r="K55" i="5"/>
  <c r="K56" i="5"/>
  <c r="V56" i="5"/>
  <c r="W56" i="5"/>
  <c r="X56" i="5"/>
  <c r="K57" i="5"/>
  <c r="V57" i="5"/>
  <c r="W57" i="5"/>
  <c r="X57" i="5"/>
  <c r="K58" i="5"/>
  <c r="V58" i="5"/>
  <c r="W58" i="5"/>
  <c r="X58" i="5"/>
  <c r="G59" i="5"/>
  <c r="I59" i="5"/>
  <c r="K59" i="5"/>
  <c r="Q59" i="5"/>
  <c r="V59" i="5"/>
  <c r="W59" i="5"/>
  <c r="X59" i="5"/>
  <c r="E60" i="5"/>
  <c r="G60" i="5"/>
  <c r="I60" i="5"/>
  <c r="K60" i="5"/>
  <c r="Q60" i="5"/>
  <c r="V60" i="5"/>
  <c r="W60" i="5"/>
  <c r="E61" i="5"/>
  <c r="G61" i="5"/>
  <c r="I61" i="5"/>
  <c r="Q61" i="5"/>
  <c r="V61" i="5"/>
  <c r="W61" i="5"/>
  <c r="E62" i="5"/>
  <c r="G62" i="5"/>
  <c r="I62" i="5"/>
  <c r="Q62" i="5"/>
  <c r="R62" i="5"/>
  <c r="S62" i="5"/>
  <c r="V62" i="5" s="1"/>
  <c r="W62" i="5" s="1"/>
  <c r="T62" i="5"/>
  <c r="U62" i="5"/>
  <c r="R63" i="5"/>
  <c r="S63" i="5"/>
  <c r="V63" i="5" s="1"/>
  <c r="W63" i="5" s="1"/>
  <c r="T63" i="5"/>
  <c r="U63" i="5"/>
  <c r="R64" i="5"/>
  <c r="S64" i="5"/>
  <c r="V64" i="5" s="1"/>
  <c r="W64" i="5" s="1"/>
  <c r="T64" i="5"/>
  <c r="U64" i="5"/>
  <c r="R65" i="5"/>
  <c r="S65" i="5"/>
  <c r="V65" i="5" s="1"/>
  <c r="W65" i="5" s="1"/>
  <c r="T65" i="5"/>
  <c r="U65" i="5"/>
  <c r="R66" i="5"/>
  <c r="S66" i="5"/>
  <c r="V66" i="5" s="1"/>
  <c r="W66" i="5" s="1"/>
  <c r="T66" i="5"/>
  <c r="U66" i="5"/>
  <c r="R67" i="5"/>
  <c r="S67" i="5"/>
  <c r="V67" i="5" s="1"/>
  <c r="W67" i="5" s="1"/>
  <c r="T67" i="5"/>
  <c r="U67" i="5"/>
  <c r="E68" i="5"/>
  <c r="G68" i="5"/>
  <c r="I68" i="5"/>
  <c r="Q68" i="5"/>
  <c r="R68" i="5"/>
  <c r="S68" i="5"/>
  <c r="V68" i="5" s="1"/>
  <c r="W68" i="5" s="1"/>
  <c r="T68" i="5"/>
  <c r="U68" i="5"/>
  <c r="E69" i="5"/>
  <c r="G69" i="5"/>
  <c r="I69" i="5"/>
  <c r="O69" i="5"/>
  <c r="Q69" i="5"/>
  <c r="W69" i="5"/>
  <c r="X69" i="5"/>
  <c r="E70" i="5"/>
  <c r="G70" i="5"/>
  <c r="I70" i="5"/>
  <c r="O70" i="5"/>
  <c r="Q70" i="5"/>
  <c r="X70" i="5"/>
  <c r="E71" i="5"/>
  <c r="G71" i="5"/>
  <c r="I71" i="5"/>
  <c r="K71" i="5"/>
  <c r="Q71" i="5"/>
  <c r="V71" i="5"/>
  <c r="W71" i="5" s="1"/>
  <c r="X71" i="5"/>
  <c r="K72" i="5"/>
  <c r="V72" i="5"/>
  <c r="W72" i="5" s="1"/>
  <c r="X72" i="5"/>
  <c r="K73" i="5"/>
  <c r="V73" i="5"/>
  <c r="W73" i="5" s="1"/>
  <c r="X73" i="5"/>
  <c r="K74" i="5"/>
  <c r="V74" i="5"/>
  <c r="W74" i="5" s="1"/>
  <c r="X74" i="5"/>
  <c r="K75" i="5"/>
  <c r="V75" i="5"/>
  <c r="W75" i="5" s="1"/>
  <c r="X75" i="5"/>
  <c r="K76" i="5"/>
  <c r="V76" i="5"/>
  <c r="W76" i="5" s="1"/>
  <c r="X76" i="5"/>
  <c r="K77" i="5"/>
  <c r="V77" i="5"/>
  <c r="W77" i="5" s="1"/>
  <c r="X77" i="5"/>
  <c r="G78" i="5"/>
  <c r="I78" i="5"/>
  <c r="K78" i="5"/>
  <c r="Q78" i="5"/>
  <c r="V78" i="5"/>
  <c r="W78" i="5" s="1"/>
  <c r="X78" i="5"/>
  <c r="V79" i="5"/>
  <c r="W79" i="5"/>
  <c r="G80" i="5"/>
  <c r="O80" i="5"/>
  <c r="E81" i="5"/>
  <c r="I81" i="5"/>
  <c r="K82" i="5"/>
  <c r="K83" i="5"/>
  <c r="K81" i="5" s="1"/>
  <c r="K84" i="5"/>
  <c r="K85" i="5"/>
  <c r="K86" i="5"/>
  <c r="K87" i="5"/>
  <c r="Q81" i="5"/>
  <c r="V82" i="5"/>
  <c r="W82" i="5" s="1"/>
  <c r="X82" i="5"/>
  <c r="V83" i="5"/>
  <c r="W83" i="5"/>
  <c r="X83" i="5"/>
  <c r="V84" i="5"/>
  <c r="W84" i="5" s="1"/>
  <c r="X84" i="5"/>
  <c r="V85" i="5"/>
  <c r="W85" i="5"/>
  <c r="X85" i="5"/>
  <c r="V86" i="5"/>
  <c r="W86" i="5" s="1"/>
  <c r="X86" i="5"/>
  <c r="G88" i="5"/>
  <c r="I88" i="5"/>
  <c r="K88" i="5"/>
  <c r="Q88" i="5"/>
  <c r="V88" i="5"/>
  <c r="W88" i="5"/>
  <c r="X88" i="5"/>
  <c r="E89" i="5"/>
  <c r="G89" i="5"/>
  <c r="I89" i="5"/>
  <c r="O89" i="5"/>
  <c r="Q89" i="5"/>
  <c r="X89" i="5"/>
  <c r="V90" i="5"/>
  <c r="W90" i="5"/>
  <c r="V91" i="5"/>
  <c r="W91" i="5"/>
  <c r="H96" i="5"/>
  <c r="H92" i="5"/>
  <c r="K93" i="5"/>
  <c r="K94" i="5"/>
  <c r="K92" i="5" s="1"/>
  <c r="K95" i="5"/>
  <c r="K96" i="5"/>
  <c r="V92" i="5"/>
  <c r="W92" i="5" s="1"/>
  <c r="X92" i="5"/>
  <c r="V93" i="5"/>
  <c r="W93" i="5"/>
  <c r="X93" i="5"/>
  <c r="V94" i="5"/>
  <c r="W94" i="5" s="1"/>
  <c r="X94" i="5"/>
  <c r="V95" i="5"/>
  <c r="W95" i="5"/>
  <c r="X95" i="5"/>
  <c r="V96" i="5"/>
  <c r="W96" i="5" s="1"/>
  <c r="X96" i="5"/>
  <c r="H155" i="5"/>
  <c r="H161" i="5"/>
  <c r="H154" i="5" s="1"/>
  <c r="H168" i="5"/>
  <c r="K97" i="5"/>
  <c r="V97" i="5"/>
  <c r="W97" i="5" s="1"/>
  <c r="X97" i="5"/>
  <c r="O98" i="5"/>
  <c r="E99" i="5"/>
  <c r="G99" i="5"/>
  <c r="I99" i="5"/>
  <c r="O99" i="5"/>
  <c r="Q99" i="5"/>
  <c r="X99" i="5"/>
  <c r="G100" i="5"/>
  <c r="K100" i="5"/>
  <c r="V100" i="5"/>
  <c r="X100" i="5"/>
  <c r="G101" i="5"/>
  <c r="K101" i="5"/>
  <c r="V101" i="5"/>
  <c r="X101" i="5"/>
  <c r="O102" i="5"/>
  <c r="X103" i="5"/>
  <c r="X104" i="5"/>
  <c r="E103" i="5"/>
  <c r="G103" i="5"/>
  <c r="I103" i="5"/>
  <c r="O103" i="5"/>
  <c r="Q103" i="5"/>
  <c r="O104" i="5"/>
  <c r="K105" i="5"/>
  <c r="V105" i="5"/>
  <c r="X105" i="5"/>
  <c r="K106" i="5"/>
  <c r="V106" i="5"/>
  <c r="X106" i="5"/>
  <c r="K107" i="5"/>
  <c r="V107" i="5"/>
  <c r="X107" i="5"/>
  <c r="K108" i="5"/>
  <c r="V108" i="5"/>
  <c r="X108" i="5"/>
  <c r="K109" i="5"/>
  <c r="V109" i="5"/>
  <c r="X109" i="5"/>
  <c r="K110" i="5"/>
  <c r="V110" i="5"/>
  <c r="X110" i="5"/>
  <c r="O112" i="5"/>
  <c r="K113" i="5"/>
  <c r="V113" i="5"/>
  <c r="X113" i="5"/>
  <c r="D114" i="5"/>
  <c r="H114" i="5"/>
  <c r="K114" i="5"/>
  <c r="X114" i="5"/>
  <c r="R115" i="5"/>
  <c r="S115" i="5"/>
  <c r="K115" i="5"/>
  <c r="T115" i="5"/>
  <c r="U115" i="5"/>
  <c r="D116" i="5"/>
  <c r="H116" i="5"/>
  <c r="K116" i="5"/>
  <c r="X116" i="5"/>
  <c r="D117" i="5"/>
  <c r="K117" i="5"/>
  <c r="X117" i="5"/>
  <c r="X118" i="5"/>
  <c r="K119" i="5"/>
  <c r="V119" i="5"/>
  <c r="X119" i="5"/>
  <c r="K120" i="5"/>
  <c r="V120" i="5"/>
  <c r="X120" i="5"/>
  <c r="K121" i="5"/>
  <c r="V121" i="5"/>
  <c r="X121" i="5"/>
  <c r="D122" i="5"/>
  <c r="K122" i="5"/>
  <c r="V122" i="5"/>
  <c r="X122" i="5"/>
  <c r="K123" i="5"/>
  <c r="X123" i="5"/>
  <c r="K126" i="5"/>
  <c r="K127" i="5"/>
  <c r="K128" i="5"/>
  <c r="J158" i="5"/>
  <c r="J164" i="5"/>
  <c r="J171" i="5"/>
  <c r="X130" i="5"/>
  <c r="D136" i="5"/>
  <c r="F136" i="5"/>
  <c r="H136" i="5"/>
  <c r="J136" i="5"/>
  <c r="D140" i="5"/>
  <c r="H140" i="5"/>
  <c r="D144" i="5"/>
  <c r="H144" i="5"/>
  <c r="D148" i="5"/>
  <c r="H148" i="5"/>
  <c r="F154" i="5"/>
  <c r="F153" i="5" s="1"/>
  <c r="J159" i="5"/>
  <c r="J155" i="5" s="1"/>
  <c r="J165" i="5"/>
  <c r="J172" i="5"/>
  <c r="J168" i="5" s="1"/>
  <c r="Q168" i="5" s="1"/>
  <c r="X153" i="5"/>
  <c r="E154" i="5"/>
  <c r="R155" i="5"/>
  <c r="R163" i="5"/>
  <c r="R168" i="5"/>
  <c r="S155" i="5"/>
  <c r="S161" i="5"/>
  <c r="S168" i="5"/>
  <c r="X168" i="5" s="1"/>
  <c r="T155" i="5"/>
  <c r="T163" i="5"/>
  <c r="T161" i="5"/>
  <c r="T168" i="5"/>
  <c r="T154" i="5"/>
  <c r="U155" i="5"/>
  <c r="U163" i="5"/>
  <c r="U161" i="5" s="1"/>
  <c r="U168" i="5"/>
  <c r="E155" i="5"/>
  <c r="G155" i="5"/>
  <c r="I155" i="5"/>
  <c r="Q155" i="5"/>
  <c r="V155" i="5"/>
  <c r="W155" i="5"/>
  <c r="K156" i="5"/>
  <c r="X156" i="5"/>
  <c r="K157" i="5"/>
  <c r="X157" i="5"/>
  <c r="K158" i="5"/>
  <c r="X158" i="5"/>
  <c r="K159" i="5"/>
  <c r="X159" i="5"/>
  <c r="K160" i="5"/>
  <c r="X160" i="5"/>
  <c r="E161" i="5"/>
  <c r="G161" i="5"/>
  <c r="I161" i="5"/>
  <c r="K162" i="5"/>
  <c r="X162" i="5"/>
  <c r="X163" i="5"/>
  <c r="K164" i="5"/>
  <c r="X164" i="5"/>
  <c r="K165" i="5"/>
  <c r="X165" i="5"/>
  <c r="K166" i="5"/>
  <c r="X166" i="5"/>
  <c r="E167" i="5"/>
  <c r="G167" i="5"/>
  <c r="I167" i="5"/>
  <c r="Q167" i="5"/>
  <c r="X167" i="5"/>
  <c r="E168" i="5"/>
  <c r="G168" i="5"/>
  <c r="I168" i="5"/>
  <c r="K169" i="5"/>
  <c r="X169" i="5"/>
  <c r="K170" i="5"/>
  <c r="X170" i="5"/>
  <c r="K171" i="5"/>
  <c r="X171" i="5"/>
  <c r="K172" i="5"/>
  <c r="X172" i="5"/>
  <c r="E174" i="5"/>
  <c r="I174" i="5"/>
  <c r="D191" i="5"/>
  <c r="D190" i="5"/>
  <c r="D193" i="5" s="1"/>
  <c r="D189" i="5"/>
  <c r="F191" i="5"/>
  <c r="F190" i="5"/>
  <c r="F189" i="5" s="1"/>
  <c r="D212" i="5"/>
  <c r="H212" i="5"/>
  <c r="M149" i="5"/>
  <c r="M148" i="5" s="1"/>
  <c r="U154" i="5" l="1"/>
  <c r="G154" i="5"/>
  <c r="J161" i="5"/>
  <c r="X115" i="5"/>
  <c r="V111" i="5"/>
  <c r="U98" i="5"/>
  <c r="U102" i="5" s="1"/>
  <c r="T98" i="5"/>
  <c r="T102" i="5" s="1"/>
  <c r="S98" i="5"/>
  <c r="S102" i="5" s="1"/>
  <c r="V52" i="5"/>
  <c r="X52" i="5"/>
  <c r="R98" i="5"/>
  <c r="Q52" i="5"/>
  <c r="J98" i="5"/>
  <c r="S154" i="5"/>
  <c r="X155" i="5"/>
  <c r="R161" i="5"/>
  <c r="K163" i="5"/>
  <c r="H153" i="5"/>
  <c r="H97" i="5" s="1"/>
  <c r="I154" i="5"/>
  <c r="V80" i="5"/>
  <c r="W80" i="5" s="1"/>
  <c r="X80" i="5"/>
  <c r="H102" i="5"/>
  <c r="I98" i="5"/>
  <c r="F102" i="5"/>
  <c r="G98" i="5"/>
  <c r="Y13" i="5"/>
  <c r="Y15" i="5"/>
  <c r="X15" i="5"/>
  <c r="V13" i="5"/>
  <c r="J30" i="5"/>
  <c r="Q30" i="5" s="1"/>
  <c r="Q15" i="5"/>
  <c r="M134" i="5"/>
  <c r="X87" i="5"/>
  <c r="V87" i="5"/>
  <c r="W87" i="5" s="1"/>
  <c r="X81" i="5"/>
  <c r="V81" i="5"/>
  <c r="W81" i="5" s="1"/>
  <c r="G81" i="5"/>
  <c r="I80" i="5"/>
  <c r="E78" i="5"/>
  <c r="X55" i="5"/>
  <c r="V55" i="5"/>
  <c r="W55" i="5" s="1"/>
  <c r="X53" i="5"/>
  <c r="V53" i="5"/>
  <c r="W53" i="5" s="1"/>
  <c r="K53" i="5"/>
  <c r="G42" i="5"/>
  <c r="U41" i="5"/>
  <c r="U129" i="5" s="1"/>
  <c r="U130" i="5" s="1"/>
  <c r="T41" i="5"/>
  <c r="T129" i="5" s="1"/>
  <c r="T130" i="5" s="1"/>
  <c r="S41" i="5"/>
  <c r="S129" i="5" s="1"/>
  <c r="S130" i="5" s="1"/>
  <c r="V70" i="5"/>
  <c r="W70" i="5" s="1"/>
  <c r="R41" i="5"/>
  <c r="J113" i="5"/>
  <c r="J112" i="5" s="1"/>
  <c r="D59" i="5"/>
  <c r="D88" i="5"/>
  <c r="D42" i="5"/>
  <c r="J35" i="5"/>
  <c r="Q35" i="5" s="1"/>
  <c r="J41" i="5"/>
  <c r="Q41" i="5" s="1"/>
  <c r="X21" i="5"/>
  <c r="J20" i="5"/>
  <c r="O15" i="5"/>
  <c r="J13" i="5"/>
  <c r="J21" i="5"/>
  <c r="Q21" i="5" s="1"/>
  <c r="K129" i="5"/>
  <c r="K130" i="5" s="1"/>
  <c r="K132" i="5" s="1"/>
  <c r="M129" i="5"/>
  <c r="K134" i="5"/>
  <c r="T131" i="5" l="1"/>
  <c r="T132" i="5" s="1"/>
  <c r="E42" i="5"/>
  <c r="E59" i="5"/>
  <c r="D52" i="5"/>
  <c r="E52" i="5" s="1"/>
  <c r="Z41" i="5"/>
  <c r="X41" i="5"/>
  <c r="S131" i="5"/>
  <c r="S132" i="5"/>
  <c r="U131" i="5"/>
  <c r="U132" i="5"/>
  <c r="F41" i="5"/>
  <c r="G102" i="5"/>
  <c r="F134" i="5"/>
  <c r="I102" i="5"/>
  <c r="H134" i="5"/>
  <c r="H41" i="5"/>
  <c r="R154" i="5"/>
  <c r="X154" i="5" s="1"/>
  <c r="X161" i="5"/>
  <c r="J129" i="5"/>
  <c r="J130" i="5" s="1"/>
  <c r="Q13" i="5"/>
  <c r="J133" i="5"/>
  <c r="R20" i="5"/>
  <c r="T20" i="5"/>
  <c r="U20" i="5"/>
  <c r="S20" i="5"/>
  <c r="M130" i="5"/>
  <c r="O129" i="5"/>
  <c r="D80" i="5"/>
  <c r="E80" i="5" s="1"/>
  <c r="E88" i="5"/>
  <c r="R129" i="5"/>
  <c r="Q98" i="5"/>
  <c r="J102" i="5"/>
  <c r="X98" i="5"/>
  <c r="R102" i="5"/>
  <c r="V98" i="5"/>
  <c r="W98" i="5" s="1"/>
  <c r="V41" i="5"/>
  <c r="W113" i="5" s="1"/>
  <c r="W112" i="5"/>
  <c r="W52" i="5"/>
  <c r="Q161" i="5"/>
  <c r="J154" i="5"/>
  <c r="Q102" i="5" l="1"/>
  <c r="X34" i="5"/>
  <c r="V129" i="5"/>
  <c r="R130" i="5"/>
  <c r="X129" i="5"/>
  <c r="M132" i="5"/>
  <c r="M131" i="5"/>
  <c r="I41" i="5"/>
  <c r="H133" i="5"/>
  <c r="H129" i="5"/>
  <c r="H130" i="5" s="1"/>
  <c r="J153" i="5"/>
  <c r="Q154" i="5"/>
  <c r="X102" i="5"/>
  <c r="Y102" i="5" s="1"/>
  <c r="V102" i="5"/>
  <c r="W102" i="5" s="1"/>
  <c r="J131" i="5"/>
  <c r="J132" i="5" s="1"/>
  <c r="G41" i="5"/>
  <c r="F133" i="5"/>
  <c r="F129" i="5"/>
  <c r="F130" i="5" s="1"/>
  <c r="F132" i="5" s="1"/>
  <c r="D98" i="5"/>
  <c r="J142" i="5" l="1"/>
  <c r="J141" i="5"/>
  <c r="J140" i="5" s="1"/>
  <c r="J143" i="5"/>
  <c r="H131" i="5"/>
  <c r="H132" i="5" s="1"/>
  <c r="R131" i="5"/>
  <c r="R132" i="5" s="1"/>
  <c r="D102" i="5"/>
  <c r="E98" i="5"/>
  <c r="D41" i="5" l="1"/>
  <c r="E102" i="5"/>
  <c r="D134" i="5"/>
  <c r="E41" i="5" l="1"/>
  <c r="D133" i="5"/>
  <c r="D129" i="5"/>
  <c r="D130" i="5" s="1"/>
  <c r="D132" i="5" s="1"/>
</calcChain>
</file>

<file path=xl/sharedStrings.xml><?xml version="1.0" encoding="utf-8"?>
<sst xmlns="http://schemas.openxmlformats.org/spreadsheetml/2006/main" count="302" uniqueCount="233">
  <si>
    <t xml:space="preserve"> </t>
  </si>
  <si>
    <t>Найменування показників</t>
  </si>
  <si>
    <t>тис.грн.</t>
  </si>
  <si>
    <t xml:space="preserve">Обсяг наданих послуг </t>
  </si>
  <si>
    <t>без ПДВ (єдиного податку)</t>
  </si>
  <si>
    <t>1.1.</t>
  </si>
  <si>
    <t>з неї: - плата населенням</t>
  </si>
  <si>
    <t xml:space="preserve">        -  субсидії</t>
  </si>
  <si>
    <t xml:space="preserve">        -  пільги</t>
  </si>
  <si>
    <t>з загальної суми будинки з ліфтами</t>
  </si>
  <si>
    <t>1.2.</t>
  </si>
  <si>
    <t xml:space="preserve"> Відшкодування</t>
  </si>
  <si>
    <t xml:space="preserve">  - за прибирання прилоткової, тротуарів</t>
  </si>
  <si>
    <t xml:space="preserve">  - міськ РЕМ</t>
  </si>
  <si>
    <t>1.3.</t>
  </si>
  <si>
    <r>
      <t xml:space="preserve">Дотація з бюджету </t>
    </r>
    <r>
      <rPr>
        <sz val="9"/>
        <rFont val="Arial"/>
        <family val="2"/>
        <charset val="204"/>
      </rPr>
      <t>(фінансова підтримка)</t>
    </r>
  </si>
  <si>
    <t>Витрати виробництва, що відносяться</t>
  </si>
  <si>
    <t>3.1.</t>
  </si>
  <si>
    <t>Прибирання прибудинкової території</t>
  </si>
  <si>
    <t>3.1.1.</t>
  </si>
  <si>
    <t>в т.ч.   Утримання  двірників</t>
  </si>
  <si>
    <t xml:space="preserve">                         заробітна плата</t>
  </si>
  <si>
    <t xml:space="preserve">                         премія</t>
  </si>
  <si>
    <t xml:space="preserve">                         інші витрати </t>
  </si>
  <si>
    <t xml:space="preserve">               Накладні витрати</t>
  </si>
  <si>
    <t>3.2.</t>
  </si>
  <si>
    <t xml:space="preserve">Дератизація </t>
  </si>
  <si>
    <t>3.3.</t>
  </si>
  <si>
    <t>Дезінсекція</t>
  </si>
  <si>
    <t>3.4.</t>
  </si>
  <si>
    <t>3.5.</t>
  </si>
  <si>
    <t>Освітлення сходових кліток та під"їздів</t>
  </si>
  <si>
    <t>3.5.1.</t>
  </si>
  <si>
    <t xml:space="preserve">          утримання електриків </t>
  </si>
  <si>
    <t>3.5.2.</t>
  </si>
  <si>
    <t xml:space="preserve">         електроенергія на освітлення</t>
  </si>
  <si>
    <t>3.6.</t>
  </si>
  <si>
    <t>Підгот.  жилфонду до експ. в зимовий пер.</t>
  </si>
  <si>
    <t>в т.ч. Утримання робочих</t>
  </si>
  <si>
    <t xml:space="preserve">                        зарплата</t>
  </si>
  <si>
    <t xml:space="preserve">                        премія</t>
  </si>
  <si>
    <t xml:space="preserve">                        нарахування </t>
  </si>
  <si>
    <t xml:space="preserve">                        матеріали</t>
  </si>
  <si>
    <t xml:space="preserve">                        інші витрати </t>
  </si>
  <si>
    <t>3.7.</t>
  </si>
  <si>
    <t>Обслуговування димовентканалів</t>
  </si>
  <si>
    <t>3.8.</t>
  </si>
  <si>
    <t>Поточний ремонт</t>
  </si>
  <si>
    <t>3.8.1.</t>
  </si>
  <si>
    <t>3.8.2.</t>
  </si>
  <si>
    <t xml:space="preserve">             Накладні витрати</t>
  </si>
  <si>
    <t>3.9.</t>
  </si>
  <si>
    <t xml:space="preserve">Обслуговування  внутрішньобудинкових </t>
  </si>
  <si>
    <t>систем водопостачання, водовідведення</t>
  </si>
  <si>
    <t xml:space="preserve">          Утримання робочих</t>
  </si>
  <si>
    <t xml:space="preserve">                  зарплата</t>
  </si>
  <si>
    <t xml:space="preserve">                  премія</t>
  </si>
  <si>
    <t xml:space="preserve">                  матеріали</t>
  </si>
  <si>
    <t xml:space="preserve">                  інші витрати </t>
  </si>
  <si>
    <t xml:space="preserve">           Накладні витрати</t>
  </si>
  <si>
    <t>3.10.</t>
  </si>
  <si>
    <t>систем теплопостачання</t>
  </si>
  <si>
    <t>Всього витрат в будинках без ліфтів</t>
  </si>
  <si>
    <t>3.11.</t>
  </si>
  <si>
    <t>Утримання ліфтів</t>
  </si>
  <si>
    <t xml:space="preserve">         ел.енергія для роботи ліфтів</t>
  </si>
  <si>
    <t xml:space="preserve">         тех.обслуговування ліфтів</t>
  </si>
  <si>
    <t>Всього витрат в будинках з ліфтами</t>
  </si>
  <si>
    <t>Вивезення ТПВ</t>
  </si>
  <si>
    <t xml:space="preserve"> Прибирання прилоткової частини</t>
  </si>
  <si>
    <t>в т.ч. заробітна плата</t>
  </si>
  <si>
    <t xml:space="preserve">        премія</t>
  </si>
  <si>
    <t xml:space="preserve">        нарахування на з/плату  з премією</t>
  </si>
  <si>
    <t xml:space="preserve">        інші витрати </t>
  </si>
  <si>
    <t>3.14.</t>
  </si>
  <si>
    <t>Вивезення змету</t>
  </si>
  <si>
    <t>Довідково:</t>
  </si>
  <si>
    <t>Накладні  та загальногосподарські:</t>
  </si>
  <si>
    <t>Утримання АУП</t>
  </si>
  <si>
    <t xml:space="preserve">        нарахування на з/плату з премією</t>
  </si>
  <si>
    <t xml:space="preserve"> Утримання транспортних засобів</t>
  </si>
  <si>
    <t>Амортизація</t>
  </si>
  <si>
    <r>
      <t xml:space="preserve">Інші витрати </t>
    </r>
    <r>
      <rPr>
        <sz val="8"/>
        <rFont val="Arial"/>
        <family val="2"/>
        <charset val="204"/>
      </rPr>
      <t>(чергові,комірник, прибиральн,пр.)</t>
    </r>
  </si>
  <si>
    <t>в т.ч. площа, що обслуговується  ліфтами</t>
  </si>
  <si>
    <t>в т.ч. квартирна плата</t>
  </si>
  <si>
    <t xml:space="preserve">         з неї: плата населенням</t>
  </si>
  <si>
    <t xml:space="preserve">                   субсидії</t>
  </si>
  <si>
    <t xml:space="preserve">                   пільги </t>
  </si>
  <si>
    <t>коп. на 1 м2</t>
  </si>
  <si>
    <t>Всього, тис.грн.</t>
  </si>
  <si>
    <t>Фінансовий результат від звичайної діяльності до оподаткування (прибуток (+), збиток (-)</t>
  </si>
  <si>
    <t>Податок на прибуток</t>
  </si>
  <si>
    <t>Фінансовий  результат від операційної діяльності, прибуток (+), збиток (-)</t>
  </si>
  <si>
    <t>Чистий прибуток (+), збиток (-)</t>
  </si>
  <si>
    <t>Рентабельність, %</t>
  </si>
  <si>
    <t>Рівень відшкодування затвердженими тарифами фактичної собівартості, %</t>
  </si>
  <si>
    <t>нараховано, всього, в т.ч.:</t>
  </si>
  <si>
    <t>фактично використано, всього, в т.ч.</t>
  </si>
  <si>
    <t>13.1.</t>
  </si>
  <si>
    <t>13.2.</t>
  </si>
  <si>
    <t>поточна:</t>
  </si>
  <si>
    <t>в тому числі по зар.платі</t>
  </si>
  <si>
    <t>15.1.</t>
  </si>
  <si>
    <t>по квартплаті</t>
  </si>
  <si>
    <t>15.1.1.</t>
  </si>
  <si>
    <t>15.1.2.</t>
  </si>
  <si>
    <t>безнадійна</t>
  </si>
  <si>
    <t>15.2.</t>
  </si>
  <si>
    <t>інша</t>
  </si>
  <si>
    <t>Середньоспискова чисельність працівників</t>
  </si>
  <si>
    <t>в т.ч. АУП</t>
  </si>
  <si>
    <t>Середньомісячна заробітна плата працюючих</t>
  </si>
  <si>
    <t>16.1.</t>
  </si>
  <si>
    <t>16.1.1.</t>
  </si>
  <si>
    <t>16.1.2.</t>
  </si>
  <si>
    <t>16.2.</t>
  </si>
  <si>
    <t>17.1.</t>
  </si>
  <si>
    <t>17.1.1.</t>
  </si>
  <si>
    <t>17.1.2.</t>
  </si>
  <si>
    <t>17.2.</t>
  </si>
  <si>
    <t>Фактично отримані доходи, всього (без ПДВ)</t>
  </si>
  <si>
    <t>М.П.</t>
  </si>
  <si>
    <t>Використання чистого прибутку, всього, в т.ч.</t>
  </si>
  <si>
    <t>Кредиторська заборгованість</t>
  </si>
  <si>
    <t>Загальна площа житлових приміщень, т.кв.м.</t>
  </si>
  <si>
    <t>Кількість ліфтів, одиниць</t>
  </si>
  <si>
    <t>Здійснено перерахунки мешканцям згідно побудинкового обліку за ненадані послуги</t>
  </si>
  <si>
    <t>залишок по фондах на початок року</t>
  </si>
  <si>
    <t>залишок по фондах на кінець року</t>
  </si>
  <si>
    <t xml:space="preserve">на розвиток виробництва </t>
  </si>
  <si>
    <t xml:space="preserve">на матеріальне заохочення </t>
  </si>
  <si>
    <t xml:space="preserve">інші фонди </t>
  </si>
  <si>
    <t>-</t>
  </si>
  <si>
    <t xml:space="preserve"> 3.12.</t>
  </si>
  <si>
    <t>3.13.</t>
  </si>
  <si>
    <t>3.4.1.</t>
  </si>
  <si>
    <t>3.4.2.</t>
  </si>
  <si>
    <t>3.7.1.</t>
  </si>
  <si>
    <t>3.7.2.</t>
  </si>
  <si>
    <t>- плата орендарями та власниками нежитлових приміщень</t>
  </si>
  <si>
    <t>Плата за послуги з утримання будинків і споруд та прибудинкових територій</t>
  </si>
  <si>
    <t>% накладних та загальногосп.витрат до ФОП</t>
  </si>
  <si>
    <t>утримання електрика (за рах. РЕМ)</t>
  </si>
  <si>
    <t>Дебіторська заборгованість на 01.01.2014р., всього, в т.ч.</t>
  </si>
  <si>
    <t>на 01.01.2014р.</t>
  </si>
  <si>
    <t>покіс газонів, прибирання після покосу</t>
  </si>
  <si>
    <t>Інші доходи, всього, в т.ч.</t>
  </si>
  <si>
    <t>Інші доходи, в т. ч. посл. інтернет провайдерам</t>
  </si>
  <si>
    <t>% банків</t>
  </si>
  <si>
    <t>довідки</t>
  </si>
  <si>
    <t>інші загальногосподарські витрати</t>
  </si>
  <si>
    <t xml:space="preserve">          накладні витрати</t>
  </si>
  <si>
    <t>на 01.01.2015р.</t>
  </si>
  <si>
    <t xml:space="preserve">         Накладні  витрати</t>
  </si>
  <si>
    <t xml:space="preserve">                          нарахування на з/плату  з премією</t>
  </si>
  <si>
    <t xml:space="preserve">                          інші витрати </t>
  </si>
  <si>
    <t xml:space="preserve">                         накладні витрати</t>
  </si>
  <si>
    <t xml:space="preserve">                           премія</t>
  </si>
  <si>
    <t xml:space="preserve">              в т.ч. заробітна плата</t>
  </si>
  <si>
    <t>вивез.сміття з території КЖРЕП-17</t>
  </si>
  <si>
    <t>на розвиток виробництва (60%)</t>
  </si>
  <si>
    <t>на матеріальне заохочення (30%)</t>
  </si>
  <si>
    <t>інші фонди (10%)</t>
  </si>
  <si>
    <t>знесення аварійних дерев, р-т дит.майданчиків</t>
  </si>
  <si>
    <r>
      <t xml:space="preserve"> на собівартість-усього,</t>
    </r>
    <r>
      <rPr>
        <sz val="9"/>
        <rFont val="Arial"/>
        <family val="2"/>
        <charset val="204"/>
      </rPr>
      <t xml:space="preserve"> в тому числі:</t>
    </r>
  </si>
  <si>
    <t xml:space="preserve">відшкодув.матер.витрат(місцевий бюджет) </t>
  </si>
  <si>
    <t xml:space="preserve">різниця в ціні за ел.енергію(тариф та факт) </t>
  </si>
  <si>
    <t xml:space="preserve">           збори з орендарів</t>
  </si>
  <si>
    <t>на 01.01.2016р.</t>
  </si>
  <si>
    <t>Дебіторська заборгованість на 01.01.2015р., всього, в т.ч.</t>
  </si>
  <si>
    <t>Факт за 2014 рік</t>
  </si>
  <si>
    <t>погаш. заборгов. (без.обл.спожив.ел.енергії(2014р)</t>
  </si>
  <si>
    <t>різниця в ціні на пал.маст.матеріали(фокт2015р.)</t>
  </si>
  <si>
    <t>13.4</t>
  </si>
  <si>
    <t>13.3</t>
  </si>
  <si>
    <t>13.5</t>
  </si>
  <si>
    <t>Прогноз на 2015р</t>
  </si>
  <si>
    <t>Дебіторська заборгованість на 01.01.2016р., всього, в т.ч.</t>
  </si>
  <si>
    <t>Факт за 2015 рік</t>
  </si>
  <si>
    <t>Прогноз на 2016 рік</t>
  </si>
  <si>
    <t>інше</t>
  </si>
  <si>
    <t xml:space="preserve">  - інші доходи за виконані роботи(бюдж.кошти):</t>
  </si>
  <si>
    <t>вивезення сміття</t>
  </si>
  <si>
    <t>знесення аварійних дерев</t>
  </si>
  <si>
    <t>матеріали</t>
  </si>
  <si>
    <t>повірка лічильників</t>
  </si>
  <si>
    <t>14</t>
  </si>
  <si>
    <t>18.1.</t>
  </si>
  <si>
    <t>18.1.1.</t>
  </si>
  <si>
    <t>18.1.2.</t>
  </si>
  <si>
    <t>18.2.</t>
  </si>
  <si>
    <r>
      <t xml:space="preserve">Головний бухгалтер    </t>
    </r>
    <r>
      <rPr>
        <u/>
        <sz val="9"/>
        <rFont val="Arial"/>
        <family val="2"/>
        <charset val="204"/>
      </rPr>
      <t xml:space="preserve">                                                         </t>
    </r>
    <r>
      <rPr>
        <sz val="9"/>
        <rFont val="Arial"/>
      </rPr>
      <t xml:space="preserve">      Дарабан М.К.</t>
    </r>
  </si>
  <si>
    <t>в т.ч.послуги МКП "Теплокомуненерго"</t>
  </si>
  <si>
    <t xml:space="preserve">                    індексація з/плати</t>
  </si>
  <si>
    <t xml:space="preserve">                   індексація з/плати</t>
  </si>
  <si>
    <t xml:space="preserve">                  додаткова зароб.плата</t>
  </si>
  <si>
    <t xml:space="preserve">       індексація з/плати</t>
  </si>
  <si>
    <t>отримання дозв.на експл.ліфтів</t>
  </si>
  <si>
    <t xml:space="preserve">                         нарахування 22%</t>
  </si>
  <si>
    <t xml:space="preserve">                        нарахування  22%</t>
  </si>
  <si>
    <t xml:space="preserve">                  нарахування на з/плату  з премією 22%</t>
  </si>
  <si>
    <t>виготовл.прапорців</t>
  </si>
  <si>
    <t xml:space="preserve">інше(фін.підтримка,різн.в цінах, довідки,) </t>
  </si>
  <si>
    <t>коп.на 1 м2</t>
  </si>
  <si>
    <t>коп.на  1 м2</t>
  </si>
  <si>
    <t>ПОГОДЖЕНО</t>
  </si>
  <si>
    <t>директор департаменту ЖКГ міської ради</t>
  </si>
  <si>
    <t>____________________ С.Погорений</t>
  </si>
  <si>
    <t>"_____" _______________2016р.</t>
  </si>
  <si>
    <t>заступник міського голови з питань діяльності</t>
  </si>
  <si>
    <t>"_____" ______________ 2016р.</t>
  </si>
  <si>
    <r>
      <t xml:space="preserve">Інше </t>
    </r>
    <r>
      <rPr>
        <i/>
        <sz val="9"/>
        <rFont val="Arial"/>
        <family val="2"/>
        <charset val="204"/>
      </rPr>
      <t>(</t>
    </r>
    <r>
      <rPr>
        <sz val="9"/>
        <rFont val="Arial"/>
        <family val="2"/>
        <charset val="204"/>
      </rPr>
      <t>витр.за рах.бюдж.коштів,прибутку,різн.в цінах)</t>
    </r>
    <r>
      <rPr>
        <b/>
        <i/>
        <sz val="9"/>
        <rFont val="Arial"/>
        <family val="2"/>
        <charset val="204"/>
      </rPr>
      <t xml:space="preserve"> </t>
    </r>
  </si>
  <si>
    <t>1 кварт. тис. грн.</t>
  </si>
  <si>
    <t>2 кварт. тис. грн.</t>
  </si>
  <si>
    <t>3 кварт. тис. грн.</t>
  </si>
  <si>
    <t>4 кварт. тис. грн.</t>
  </si>
  <si>
    <t>____________________ В.Середюк</t>
  </si>
  <si>
    <t>виконавчих органів міської ради</t>
  </si>
  <si>
    <t xml:space="preserve">         індексація</t>
  </si>
  <si>
    <t>індексація</t>
  </si>
  <si>
    <t>індексація з-плати</t>
  </si>
  <si>
    <t>різниця в ціні на опалення контори</t>
  </si>
  <si>
    <t>поточна</t>
  </si>
  <si>
    <t>прибирання та п/р ремонт дитяч. майданчиків</t>
  </si>
  <si>
    <t>План</t>
  </si>
  <si>
    <t>Факт</t>
  </si>
  <si>
    <t>відхилення  п.5/п.3</t>
  </si>
  <si>
    <t>Начальник КЖРЕП-17    __________________      Кравецький С.М.</t>
  </si>
  <si>
    <t>Головний бухгалтер       __________________       Дарабан  М.К.</t>
  </si>
  <si>
    <t>Примітки</t>
  </si>
  <si>
    <t>Інформація про виконання погодженого  фінансового плану  КЖРЕП  № 17 за  2016р.</t>
  </si>
  <si>
    <t>на 01.01.2017р.</t>
  </si>
  <si>
    <t>Дебіторська заборгованість на 01.01.2017р., всього, в т.ч.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</si>
</sst>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204" formatCode="0.0"/>
    <numFmt numFmtId="206" formatCode="0.0000"/>
    <numFmt numFmtId="208" formatCode="0.000000"/>
    <numFmt numFmtId="211" formatCode="0.00000"/>
  </numFmts>
  <fonts count="20" x14ac:knownFonts="1">
    <font>
      <sz val="10"/>
      <name val="Arial"/>
    </font>
    <font>
      <sz val="10"/>
      <name val="Arial"/>
    </font>
    <font>
      <sz val="9"/>
      <name val="Arial"/>
    </font>
    <font>
      <sz val="8"/>
      <name val="Arial"/>
    </font>
    <font>
      <b/>
      <sz val="9"/>
      <name val="Arial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i/>
      <sz val="9"/>
      <name val="Arial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</font>
    <font>
      <i/>
      <sz val="8"/>
      <name val="Arial"/>
      <family val="2"/>
      <charset val="204"/>
    </font>
    <font>
      <u/>
      <sz val="9"/>
      <name val="Arial"/>
      <family val="2"/>
      <charset val="204"/>
    </font>
    <font>
      <b/>
      <sz val="12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84">
    <xf numFmtId="0" fontId="0" fillId="0" borderId="0" xfId="0"/>
    <xf numFmtId="0" fontId="0" fillId="0" borderId="0" xfId="0" applyBorder="1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/>
    <xf numFmtId="0" fontId="2" fillId="0" borderId="2" xfId="0" applyFont="1" applyBorder="1"/>
    <xf numFmtId="0" fontId="4" fillId="0" borderId="3" xfId="0" applyFont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0" fontId="2" fillId="0" borderId="6" xfId="0" applyFont="1" applyBorder="1"/>
    <xf numFmtId="204" fontId="4" fillId="0" borderId="7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204" fontId="6" fillId="0" borderId="7" xfId="0" applyNumberFormat="1" applyFont="1" applyBorder="1" applyAlignment="1">
      <alignment horizontal="center"/>
    </xf>
    <xf numFmtId="204" fontId="6" fillId="0" borderId="8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" fillId="0" borderId="8" xfId="0" applyFont="1" applyBorder="1"/>
    <xf numFmtId="0" fontId="2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204" fontId="5" fillId="0" borderId="7" xfId="0" applyNumberFormat="1" applyFont="1" applyBorder="1" applyAlignment="1">
      <alignment horizontal="center"/>
    </xf>
    <xf numFmtId="204" fontId="5" fillId="0" borderId="8" xfId="0" applyNumberFormat="1" applyFont="1" applyBorder="1" applyAlignment="1">
      <alignment horizontal="center"/>
    </xf>
    <xf numFmtId="0" fontId="5" fillId="0" borderId="8" xfId="0" applyFont="1" applyBorder="1"/>
    <xf numFmtId="0" fontId="4" fillId="0" borderId="9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4" fillId="0" borderId="6" xfId="0" applyFont="1" applyBorder="1"/>
    <xf numFmtId="0" fontId="7" fillId="0" borderId="8" xfId="0" applyFont="1" applyBorder="1"/>
    <xf numFmtId="0" fontId="2" fillId="0" borderId="9" xfId="0" applyFont="1" applyBorder="1" applyAlignment="1">
      <alignment horizontal="center"/>
    </xf>
    <xf numFmtId="0" fontId="8" fillId="0" borderId="8" xfId="0" applyFont="1" applyBorder="1"/>
    <xf numFmtId="0" fontId="6" fillId="0" borderId="8" xfId="0" applyFont="1" applyBorder="1"/>
    <xf numFmtId="0" fontId="5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5" fillId="0" borderId="11" xfId="0" applyFont="1" applyBorder="1"/>
    <xf numFmtId="0" fontId="4" fillId="0" borderId="1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204" fontId="5" fillId="0" borderId="12" xfId="0" applyNumberFormat="1" applyFont="1" applyBorder="1" applyAlignment="1">
      <alignment horizontal="center"/>
    </xf>
    <xf numFmtId="204" fontId="5" fillId="0" borderId="11" xfId="0" applyNumberFormat="1" applyFont="1" applyBorder="1" applyAlignment="1">
      <alignment horizontal="center"/>
    </xf>
    <xf numFmtId="0" fontId="6" fillId="0" borderId="6" xfId="0" applyFont="1" applyBorder="1"/>
    <xf numFmtId="204" fontId="6" fillId="0" borderId="4" xfId="0" applyNumberFormat="1" applyFont="1" applyBorder="1" applyAlignment="1">
      <alignment horizontal="center"/>
    </xf>
    <xf numFmtId="204" fontId="6" fillId="0" borderId="13" xfId="0" applyNumberFormat="1" applyFont="1" applyBorder="1" applyAlignment="1">
      <alignment horizontal="center"/>
    </xf>
    <xf numFmtId="0" fontId="10" fillId="0" borderId="8" xfId="0" applyFont="1" applyBorder="1"/>
    <xf numFmtId="204" fontId="5" fillId="0" borderId="14" xfId="0" applyNumberFormat="1" applyFont="1" applyBorder="1" applyAlignment="1">
      <alignment horizontal="center"/>
    </xf>
    <xf numFmtId="204" fontId="5" fillId="0" borderId="6" xfId="0" applyNumberFormat="1" applyFont="1" applyBorder="1" applyAlignment="1">
      <alignment horizontal="center"/>
    </xf>
    <xf numFmtId="204" fontId="6" fillId="0" borderId="6" xfId="0" applyNumberFormat="1" applyFont="1" applyBorder="1" applyAlignment="1">
      <alignment horizontal="center"/>
    </xf>
    <xf numFmtId="204" fontId="6" fillId="0" borderId="14" xfId="0" applyNumberFormat="1" applyFont="1" applyBorder="1" applyAlignment="1">
      <alignment horizontal="center"/>
    </xf>
    <xf numFmtId="0" fontId="10" fillId="0" borderId="6" xfId="0" applyFont="1" applyBorder="1"/>
    <xf numFmtId="0" fontId="6" fillId="0" borderId="6" xfId="0" applyFont="1" applyBorder="1" applyAlignment="1">
      <alignment horizontal="center"/>
    </xf>
    <xf numFmtId="0" fontId="11" fillId="0" borderId="8" xfId="0" applyFont="1" applyBorder="1"/>
    <xf numFmtId="204" fontId="9" fillId="0" borderId="14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/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3" fillId="0" borderId="0" xfId="0" applyFon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204" fontId="6" fillId="0" borderId="0" xfId="0" applyNumberFormat="1" applyFont="1" applyBorder="1" applyAlignment="1">
      <alignment horizontal="center"/>
    </xf>
    <xf numFmtId="0" fontId="2" fillId="0" borderId="15" xfId="0" applyFont="1" applyBorder="1" applyAlignment="1">
      <alignment wrapText="1"/>
    </xf>
    <xf numFmtId="0" fontId="3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18" xfId="0" applyFont="1" applyBorder="1"/>
    <xf numFmtId="0" fontId="6" fillId="0" borderId="8" xfId="0" applyFont="1" applyBorder="1" applyAlignment="1">
      <alignment wrapText="1"/>
    </xf>
    <xf numFmtId="0" fontId="6" fillId="0" borderId="14" xfId="0" applyFont="1" applyBorder="1" applyAlignment="1">
      <alignment horizontal="center"/>
    </xf>
    <xf numFmtId="0" fontId="5" fillId="0" borderId="6" xfId="0" applyFont="1" applyBorder="1"/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wrapText="1"/>
    </xf>
    <xf numFmtId="0" fontId="2" fillId="0" borderId="0" xfId="0" applyFont="1" applyFill="1" applyBorder="1"/>
    <xf numFmtId="0" fontId="6" fillId="0" borderId="0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21" xfId="0" applyFont="1" applyBorder="1" applyAlignment="1">
      <alignment vertical="center" wrapText="1"/>
    </xf>
    <xf numFmtId="0" fontId="2" fillId="0" borderId="2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49" fontId="2" fillId="0" borderId="8" xfId="0" applyNumberFormat="1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7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/>
    <xf numFmtId="0" fontId="5" fillId="0" borderId="0" xfId="0" applyFont="1" applyBorder="1" applyAlignment="1">
      <alignment horizontal="center"/>
    </xf>
    <xf numFmtId="0" fontId="16" fillId="0" borderId="0" xfId="0" applyFont="1"/>
    <xf numFmtId="204" fontId="16" fillId="0" borderId="13" xfId="0" applyNumberFormat="1" applyFont="1" applyBorder="1" applyAlignment="1">
      <alignment horizontal="center"/>
    </xf>
    <xf numFmtId="204" fontId="16" fillId="0" borderId="7" xfId="0" applyNumberFormat="1" applyFont="1" applyBorder="1" applyAlignment="1">
      <alignment horizontal="center"/>
    </xf>
    <xf numFmtId="204" fontId="16" fillId="0" borderId="14" xfId="0" applyNumberFormat="1" applyFont="1" applyBorder="1" applyAlignment="1">
      <alignment horizontal="center"/>
    </xf>
    <xf numFmtId="204" fontId="16" fillId="0" borderId="0" xfId="0" applyNumberFormat="1" applyFont="1" applyBorder="1" applyAlignment="1">
      <alignment horizontal="center"/>
    </xf>
    <xf numFmtId="204" fontId="8" fillId="0" borderId="7" xfId="0" applyNumberFormat="1" applyFont="1" applyBorder="1" applyAlignment="1">
      <alignment horizontal="center"/>
    </xf>
    <xf numFmtId="204" fontId="8" fillId="0" borderId="14" xfId="0" applyNumberFormat="1" applyFont="1" applyBorder="1" applyAlignment="1">
      <alignment horizontal="center"/>
    </xf>
    <xf numFmtId="204" fontId="0" fillId="0" borderId="22" xfId="0" applyNumberFormat="1" applyBorder="1"/>
    <xf numFmtId="204" fontId="0" fillId="0" borderId="23" xfId="0" applyNumberFormat="1" applyBorder="1"/>
    <xf numFmtId="204" fontId="2" fillId="0" borderId="8" xfId="0" applyNumberFormat="1" applyFont="1" applyBorder="1" applyAlignment="1">
      <alignment horizontal="center"/>
    </xf>
    <xf numFmtId="204" fontId="8" fillId="0" borderId="22" xfId="0" applyNumberFormat="1" applyFont="1" applyBorder="1"/>
    <xf numFmtId="204" fontId="8" fillId="0" borderId="23" xfId="0" applyNumberFormat="1" applyFont="1" applyBorder="1"/>
    <xf numFmtId="2" fontId="9" fillId="0" borderId="8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0" fontId="9" fillId="2" borderId="8" xfId="0" applyFont="1" applyFill="1" applyBorder="1"/>
    <xf numFmtId="0" fontId="0" fillId="2" borderId="0" xfId="0" applyFill="1"/>
    <xf numFmtId="2" fontId="9" fillId="2" borderId="8" xfId="0" applyNumberFormat="1" applyFont="1" applyFill="1" applyBorder="1" applyAlignment="1">
      <alignment horizontal="center"/>
    </xf>
    <xf numFmtId="0" fontId="9" fillId="2" borderId="8" xfId="0" applyFont="1" applyFill="1" applyBorder="1" applyAlignment="1">
      <alignment horizontal="left"/>
    </xf>
    <xf numFmtId="0" fontId="8" fillId="0" borderId="7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204" fontId="15" fillId="0" borderId="21" xfId="0" applyNumberFormat="1" applyFont="1" applyBorder="1" applyAlignment="1">
      <alignment horizontal="center"/>
    </xf>
    <xf numFmtId="204" fontId="2" fillId="0" borderId="7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204" fontId="4" fillId="0" borderId="6" xfId="0" applyNumberFormat="1" applyFont="1" applyBorder="1" applyAlignment="1">
      <alignment horizontal="center"/>
    </xf>
    <xf numFmtId="204" fontId="5" fillId="0" borderId="4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204" fontId="16" fillId="0" borderId="12" xfId="0" applyNumberFormat="1" applyFont="1" applyBorder="1" applyAlignment="1">
      <alignment horizontal="center"/>
    </xf>
    <xf numFmtId="0" fontId="7" fillId="0" borderId="20" xfId="0" applyFont="1" applyBorder="1"/>
    <xf numFmtId="204" fontId="16" fillId="0" borderId="25" xfId="0" applyNumberFormat="1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8" fillId="0" borderId="21" xfId="0" applyFont="1" applyBorder="1"/>
    <xf numFmtId="204" fontId="16" fillId="0" borderId="26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/>
    <xf numFmtId="204" fontId="0" fillId="0" borderId="27" xfId="0" applyNumberFormat="1" applyBorder="1"/>
    <xf numFmtId="204" fontId="0" fillId="0" borderId="28" xfId="0" applyNumberFormat="1" applyBorder="1"/>
    <xf numFmtId="204" fontId="0" fillId="0" borderId="29" xfId="0" applyNumberFormat="1" applyBorder="1"/>
    <xf numFmtId="16" fontId="6" fillId="0" borderId="24" xfId="0" applyNumberFormat="1" applyFont="1" applyBorder="1" applyAlignment="1">
      <alignment horizontal="center"/>
    </xf>
    <xf numFmtId="0" fontId="6" fillId="0" borderId="21" xfId="0" applyFont="1" applyBorder="1"/>
    <xf numFmtId="204" fontId="6" fillId="0" borderId="26" xfId="0" applyNumberFormat="1" applyFont="1" applyBorder="1" applyAlignment="1">
      <alignment horizontal="center"/>
    </xf>
    <xf numFmtId="204" fontId="6" fillId="2" borderId="26" xfId="0" applyNumberFormat="1" applyFont="1" applyFill="1" applyBorder="1" applyAlignment="1">
      <alignment horizontal="center"/>
    </xf>
    <xf numFmtId="204" fontId="0" fillId="0" borderId="30" xfId="0" applyNumberFormat="1" applyBorder="1"/>
    <xf numFmtId="204" fontId="0" fillId="0" borderId="31" xfId="0" applyNumberFormat="1" applyBorder="1"/>
    <xf numFmtId="204" fontId="0" fillId="0" borderId="32" xfId="0" applyNumberFormat="1" applyBorder="1"/>
    <xf numFmtId="0" fontId="7" fillId="0" borderId="11" xfId="0" applyFont="1" applyBorder="1"/>
    <xf numFmtId="204" fontId="0" fillId="0" borderId="33" xfId="0" applyNumberFormat="1" applyBorder="1"/>
    <xf numFmtId="204" fontId="0" fillId="0" borderId="34" xfId="0" applyNumberFormat="1" applyBorder="1"/>
    <xf numFmtId="0" fontId="10" fillId="0" borderId="21" xfId="0" applyFont="1" applyBorder="1"/>
    <xf numFmtId="204" fontId="0" fillId="0" borderId="35" xfId="0" applyNumberFormat="1" applyBorder="1"/>
    <xf numFmtId="204" fontId="0" fillId="0" borderId="36" xfId="0" applyNumberFormat="1" applyBorder="1"/>
    <xf numFmtId="0" fontId="7" fillId="0" borderId="6" xfId="0" applyFont="1" applyBorder="1"/>
    <xf numFmtId="0" fontId="7" fillId="0" borderId="24" xfId="0" applyFont="1" applyBorder="1" applyAlignment="1">
      <alignment horizontal="center"/>
    </xf>
    <xf numFmtId="17" fontId="7" fillId="0" borderId="24" xfId="0" applyNumberFormat="1" applyFont="1" applyBorder="1" applyAlignment="1">
      <alignment horizontal="center"/>
    </xf>
    <xf numFmtId="0" fontId="7" fillId="0" borderId="21" xfId="0" applyFont="1" applyBorder="1"/>
    <xf numFmtId="2" fontId="9" fillId="0" borderId="21" xfId="0" applyNumberFormat="1" applyFont="1" applyBorder="1" applyAlignment="1">
      <alignment horizontal="center"/>
    </xf>
    <xf numFmtId="0" fontId="7" fillId="0" borderId="4" xfId="0" applyFont="1" applyBorder="1"/>
    <xf numFmtId="0" fontId="9" fillId="0" borderId="20" xfId="0" applyFont="1" applyBorder="1"/>
    <xf numFmtId="0" fontId="7" fillId="0" borderId="21" xfId="0" applyFont="1" applyBorder="1" applyAlignment="1">
      <alignment wrapText="1"/>
    </xf>
    <xf numFmtId="0" fontId="8" fillId="0" borderId="20" xfId="0" applyFont="1" applyBorder="1"/>
    <xf numFmtId="0" fontId="5" fillId="0" borderId="11" xfId="0" applyFont="1" applyBorder="1" applyAlignment="1">
      <alignment wrapText="1"/>
    </xf>
    <xf numFmtId="0" fontId="2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04" fontId="14" fillId="0" borderId="27" xfId="0" applyNumberFormat="1" applyFont="1" applyBorder="1"/>
    <xf numFmtId="204" fontId="14" fillId="0" borderId="30" xfId="0" applyNumberFormat="1" applyFont="1" applyBorder="1"/>
    <xf numFmtId="0" fontId="8" fillId="0" borderId="6" xfId="0" applyFont="1" applyBorder="1"/>
    <xf numFmtId="0" fontId="2" fillId="0" borderId="11" xfId="0" applyFont="1" applyBorder="1"/>
    <xf numFmtId="204" fontId="6" fillId="0" borderId="11" xfId="0" applyNumberFormat="1" applyFont="1" applyBorder="1" applyAlignment="1">
      <alignment horizontal="center"/>
    </xf>
    <xf numFmtId="204" fontId="6" fillId="0" borderId="2" xfId="0" applyNumberFormat="1" applyFont="1" applyBorder="1" applyAlignment="1">
      <alignment horizontal="center"/>
    </xf>
    <xf numFmtId="204" fontId="5" fillId="0" borderId="15" xfId="0" applyNumberFormat="1" applyFont="1" applyBorder="1" applyAlignment="1">
      <alignment horizontal="center"/>
    </xf>
    <xf numFmtId="0" fontId="2" fillId="0" borderId="20" xfId="0" applyFont="1" applyBorder="1"/>
    <xf numFmtId="204" fontId="6" fillId="0" borderId="20" xfId="0" applyNumberFormat="1" applyFont="1" applyBorder="1" applyAlignment="1">
      <alignment horizontal="center"/>
    </xf>
    <xf numFmtId="204" fontId="6" fillId="0" borderId="17" xfId="0" applyNumberFormat="1" applyFont="1" applyBorder="1" applyAlignment="1">
      <alignment horizontal="center"/>
    </xf>
    <xf numFmtId="204" fontId="5" fillId="0" borderId="0" xfId="0" applyNumberFormat="1" applyFont="1" applyBorder="1" applyAlignment="1">
      <alignment horizontal="center"/>
    </xf>
    <xf numFmtId="204" fontId="6" fillId="0" borderId="21" xfId="0" applyNumberFormat="1" applyFont="1" applyBorder="1" applyAlignment="1">
      <alignment horizontal="center"/>
    </xf>
    <xf numFmtId="204" fontId="2" fillId="0" borderId="1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04" fontId="15" fillId="0" borderId="20" xfId="0" applyNumberFormat="1" applyFont="1" applyBorder="1" applyAlignment="1">
      <alignment horizontal="center"/>
    </xf>
    <xf numFmtId="2" fontId="0" fillId="0" borderId="35" xfId="0" applyNumberFormat="1" applyBorder="1"/>
    <xf numFmtId="204" fontId="5" fillId="2" borderId="7" xfId="0" applyNumberFormat="1" applyFont="1" applyFill="1" applyBorder="1" applyAlignment="1">
      <alignment horizontal="center"/>
    </xf>
    <xf numFmtId="204" fontId="6" fillId="0" borderId="12" xfId="0" applyNumberFormat="1" applyFont="1" applyBorder="1" applyAlignment="1">
      <alignment horizontal="center"/>
    </xf>
    <xf numFmtId="204" fontId="5" fillId="0" borderId="20" xfId="0" applyNumberFormat="1" applyFont="1" applyBorder="1" applyAlignment="1">
      <alignment horizontal="center"/>
    </xf>
    <xf numFmtId="204" fontId="8" fillId="0" borderId="13" xfId="0" applyNumberFormat="1" applyFont="1" applyBorder="1" applyAlignment="1">
      <alignment horizontal="center"/>
    </xf>
    <xf numFmtId="204" fontId="0" fillId="0" borderId="37" xfId="0" applyNumberFormat="1" applyBorder="1"/>
    <xf numFmtId="204" fontId="0" fillId="0" borderId="38" xfId="0" applyNumberFormat="1" applyBorder="1"/>
    <xf numFmtId="0" fontId="6" fillId="0" borderId="11" xfId="0" applyFont="1" applyBorder="1" applyAlignment="1">
      <alignment horizontal="center"/>
    </xf>
    <xf numFmtId="204" fontId="2" fillId="0" borderId="12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204" fontId="6" fillId="2" borderId="0" xfId="0" applyNumberFormat="1" applyFont="1" applyFill="1" applyBorder="1" applyAlignment="1">
      <alignment horizontal="center"/>
    </xf>
    <xf numFmtId="204" fontId="5" fillId="2" borderId="25" xfId="0" applyNumberFormat="1" applyFont="1" applyFill="1" applyBorder="1" applyAlignment="1">
      <alignment horizontal="center"/>
    </xf>
    <xf numFmtId="2" fontId="9" fillId="2" borderId="20" xfId="0" applyNumberFormat="1" applyFont="1" applyFill="1" applyBorder="1" applyAlignment="1">
      <alignment horizontal="center"/>
    </xf>
    <xf numFmtId="204" fontId="9" fillId="2" borderId="25" xfId="0" applyNumberFormat="1" applyFont="1" applyFill="1" applyBorder="1" applyAlignment="1">
      <alignment horizontal="center"/>
    </xf>
    <xf numFmtId="0" fontId="5" fillId="2" borderId="8" xfId="0" applyFont="1" applyFill="1" applyBorder="1"/>
    <xf numFmtId="0" fontId="5" fillId="2" borderId="20" xfId="0" applyFont="1" applyFill="1" applyBorder="1" applyAlignment="1">
      <alignment horizontal="left"/>
    </xf>
    <xf numFmtId="204" fontId="9" fillId="2" borderId="7" xfId="0" applyNumberFormat="1" applyFont="1" applyFill="1" applyBorder="1" applyAlignment="1">
      <alignment horizontal="right"/>
    </xf>
    <xf numFmtId="204" fontId="8" fillId="0" borderId="26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15" fillId="0" borderId="25" xfId="0" applyNumberFormat="1" applyFont="1" applyBorder="1" applyAlignment="1">
      <alignment horizontal="center"/>
    </xf>
    <xf numFmtId="2" fontId="15" fillId="2" borderId="25" xfId="0" applyNumberFormat="1" applyFont="1" applyFill="1" applyBorder="1" applyAlignment="1">
      <alignment horizontal="center"/>
    </xf>
    <xf numFmtId="0" fontId="15" fillId="0" borderId="8" xfId="0" applyFont="1" applyBorder="1" applyAlignment="1">
      <alignment horizontal="center"/>
    </xf>
    <xf numFmtId="2" fontId="15" fillId="0" borderId="20" xfId="0" applyNumberFormat="1" applyFont="1" applyBorder="1" applyAlignment="1">
      <alignment horizontal="center"/>
    </xf>
    <xf numFmtId="0" fontId="6" fillId="0" borderId="20" xfId="0" applyFont="1" applyBorder="1" applyAlignment="1">
      <alignment horizontal="left"/>
    </xf>
    <xf numFmtId="204" fontId="7" fillId="0" borderId="25" xfId="0" applyNumberFormat="1" applyFont="1" applyBorder="1" applyAlignment="1">
      <alignment horizontal="center"/>
    </xf>
    <xf numFmtId="204" fontId="7" fillId="0" borderId="0" xfId="0" applyNumberFormat="1" applyFont="1" applyBorder="1" applyAlignment="1">
      <alignment horizontal="center"/>
    </xf>
    <xf numFmtId="204" fontId="9" fillId="0" borderId="20" xfId="0" applyNumberFormat="1" applyFont="1" applyBorder="1" applyAlignment="1">
      <alignment horizontal="center"/>
    </xf>
    <xf numFmtId="204" fontId="7" fillId="0" borderId="15" xfId="0" applyNumberFormat="1" applyFont="1" applyBorder="1" applyAlignment="1">
      <alignment horizontal="center"/>
    </xf>
    <xf numFmtId="204" fontId="9" fillId="0" borderId="11" xfId="0" applyNumberFormat="1" applyFont="1" applyBorder="1" applyAlignment="1">
      <alignment horizontal="center"/>
    </xf>
    <xf numFmtId="204" fontId="16" fillId="0" borderId="5" xfId="0" applyNumberFormat="1" applyFont="1" applyBorder="1" applyAlignment="1">
      <alignment horizontal="center"/>
    </xf>
    <xf numFmtId="204" fontId="2" fillId="0" borderId="23" xfId="0" applyNumberFormat="1" applyFont="1" applyBorder="1"/>
    <xf numFmtId="204" fontId="11" fillId="0" borderId="14" xfId="0" applyNumberFormat="1" applyFont="1" applyBorder="1" applyAlignment="1">
      <alignment horizontal="center"/>
    </xf>
    <xf numFmtId="204" fontId="6" fillId="2" borderId="12" xfId="0" applyNumberFormat="1" applyFont="1" applyFill="1" applyBorder="1" applyAlignment="1">
      <alignment horizontal="center"/>
    </xf>
    <xf numFmtId="204" fontId="2" fillId="2" borderId="25" xfId="0" applyNumberFormat="1" applyFont="1" applyFill="1" applyBorder="1" applyAlignment="1">
      <alignment horizontal="center"/>
    </xf>
    <xf numFmtId="204" fontId="5" fillId="0" borderId="21" xfId="0" applyNumberFormat="1" applyFont="1" applyBorder="1" applyAlignment="1">
      <alignment horizontal="center"/>
    </xf>
    <xf numFmtId="204" fontId="5" fillId="0" borderId="2" xfId="0" applyNumberFormat="1" applyFont="1" applyBorder="1" applyAlignment="1">
      <alignment horizontal="center"/>
    </xf>
    <xf numFmtId="204" fontId="9" fillId="0" borderId="8" xfId="0" applyNumberFormat="1" applyFont="1" applyBorder="1" applyAlignment="1">
      <alignment horizontal="center"/>
    </xf>
    <xf numFmtId="2" fontId="5" fillId="0" borderId="20" xfId="0" applyNumberFormat="1" applyFont="1" applyBorder="1" applyAlignment="1">
      <alignment horizontal="center"/>
    </xf>
    <xf numFmtId="0" fontId="4" fillId="0" borderId="11" xfId="0" applyFont="1" applyBorder="1"/>
    <xf numFmtId="204" fontId="0" fillId="0" borderId="0" xfId="0" applyNumberFormat="1"/>
    <xf numFmtId="2" fontId="9" fillId="0" borderId="17" xfId="0" applyNumberFormat="1" applyFont="1" applyBorder="1" applyAlignment="1">
      <alignment horizontal="center"/>
    </xf>
    <xf numFmtId="204" fontId="17" fillId="0" borderId="0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204" fontId="2" fillId="0" borderId="14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204" fontId="5" fillId="0" borderId="17" xfId="0" applyNumberFormat="1" applyFont="1" applyBorder="1" applyAlignment="1">
      <alignment horizontal="center"/>
    </xf>
    <xf numFmtId="204" fontId="2" fillId="0" borderId="15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17" xfId="0" applyFont="1" applyBorder="1" applyAlignment="1">
      <alignment horizontal="center"/>
    </xf>
    <xf numFmtId="2" fontId="15" fillId="0" borderId="37" xfId="0" applyNumberFormat="1" applyFont="1" applyBorder="1"/>
    <xf numFmtId="2" fontId="15" fillId="0" borderId="22" xfId="0" applyNumberFormat="1" applyFont="1" applyBorder="1"/>
    <xf numFmtId="0" fontId="5" fillId="0" borderId="17" xfId="0" applyFont="1" applyBorder="1" applyAlignment="1">
      <alignment horizontal="left"/>
    </xf>
    <xf numFmtId="204" fontId="5" fillId="2" borderId="0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left"/>
    </xf>
    <xf numFmtId="204" fontId="9" fillId="2" borderId="7" xfId="0" applyNumberFormat="1" applyFont="1" applyFill="1" applyBorder="1" applyAlignment="1">
      <alignment horizontal="center"/>
    </xf>
    <xf numFmtId="2" fontId="9" fillId="0" borderId="2" xfId="0" applyNumberFormat="1" applyFont="1" applyBorder="1" applyAlignment="1">
      <alignment horizontal="center"/>
    </xf>
    <xf numFmtId="204" fontId="17" fillId="0" borderId="15" xfId="0" applyNumberFormat="1" applyFont="1" applyBorder="1" applyAlignment="1">
      <alignment horizontal="right"/>
    </xf>
    <xf numFmtId="0" fontId="2" fillId="0" borderId="24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2" fillId="0" borderId="24" xfId="0" applyFont="1" applyFill="1" applyBorder="1" applyAlignment="1">
      <alignment wrapText="1"/>
    </xf>
    <xf numFmtId="0" fontId="2" fillId="0" borderId="36" xfId="0" applyFont="1" applyFill="1" applyBorder="1" applyAlignment="1">
      <alignment wrapText="1"/>
    </xf>
    <xf numFmtId="0" fontId="2" fillId="0" borderId="39" xfId="0" applyFont="1" applyFill="1" applyBorder="1" applyAlignment="1">
      <alignment wrapText="1"/>
    </xf>
    <xf numFmtId="0" fontId="6" fillId="0" borderId="24" xfId="0" applyFont="1" applyBorder="1" applyAlignment="1">
      <alignment horizontal="center" vertical="center"/>
    </xf>
    <xf numFmtId="2" fontId="5" fillId="0" borderId="21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204" fontId="0" fillId="2" borderId="22" xfId="0" applyNumberFormat="1" applyFill="1" applyBorder="1"/>
    <xf numFmtId="0" fontId="5" fillId="0" borderId="7" xfId="0" applyFont="1" applyBorder="1"/>
    <xf numFmtId="0" fontId="2" fillId="0" borderId="7" xfId="0" applyFont="1" applyBorder="1"/>
    <xf numFmtId="0" fontId="6" fillId="0" borderId="14" xfId="0" applyFont="1" applyBorder="1"/>
    <xf numFmtId="0" fontId="5" fillId="0" borderId="14" xfId="0" applyFont="1" applyBorder="1"/>
    <xf numFmtId="204" fontId="6" fillId="0" borderId="40" xfId="0" applyNumberFormat="1" applyFont="1" applyBorder="1" applyAlignment="1">
      <alignment horizontal="center"/>
    </xf>
    <xf numFmtId="204" fontId="6" fillId="2" borderId="8" xfId="0" applyNumberFormat="1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204" fontId="2" fillId="0" borderId="40" xfId="0" applyNumberFormat="1" applyFont="1" applyBorder="1" applyAlignment="1">
      <alignment horizontal="center"/>
    </xf>
    <xf numFmtId="204" fontId="2" fillId="0" borderId="41" xfId="0" applyNumberFormat="1" applyFont="1" applyBorder="1" applyAlignment="1">
      <alignment horizontal="center"/>
    </xf>
    <xf numFmtId="204" fontId="5" fillId="0" borderId="40" xfId="0" applyNumberFormat="1" applyFont="1" applyBorder="1" applyAlignment="1">
      <alignment horizontal="center"/>
    </xf>
    <xf numFmtId="204" fontId="5" fillId="0" borderId="42" xfId="0" applyNumberFormat="1" applyFont="1" applyBorder="1" applyAlignment="1">
      <alignment horizontal="center"/>
    </xf>
    <xf numFmtId="204" fontId="8" fillId="0" borderId="40" xfId="0" applyNumberFormat="1" applyFont="1" applyBorder="1" applyAlignment="1">
      <alignment horizontal="center"/>
    </xf>
    <xf numFmtId="204" fontId="15" fillId="0" borderId="40" xfId="0" applyNumberFormat="1" applyFont="1" applyBorder="1" applyAlignment="1">
      <alignment horizontal="center"/>
    </xf>
    <xf numFmtId="204" fontId="15" fillId="0" borderId="43" xfId="0" applyNumberFormat="1" applyFont="1" applyBorder="1" applyAlignment="1">
      <alignment horizontal="center"/>
    </xf>
    <xf numFmtId="204" fontId="16" fillId="2" borderId="8" xfId="0" applyNumberFormat="1" applyFont="1" applyFill="1" applyBorder="1" applyAlignment="1">
      <alignment horizontal="center"/>
    </xf>
    <xf numFmtId="0" fontId="16" fillId="0" borderId="6" xfId="0" applyFont="1" applyBorder="1" applyAlignment="1">
      <alignment horizontal="center"/>
    </xf>
    <xf numFmtId="204" fontId="16" fillId="0" borderId="6" xfId="0" applyNumberFormat="1" applyFont="1" applyBorder="1" applyAlignment="1">
      <alignment horizontal="center"/>
    </xf>
    <xf numFmtId="204" fontId="16" fillId="0" borderId="8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204" fontId="6" fillId="2" borderId="7" xfId="0" applyNumberFormat="1" applyFont="1" applyFill="1" applyBorder="1" applyAlignment="1">
      <alignment horizontal="center"/>
    </xf>
    <xf numFmtId="204" fontId="5" fillId="2" borderId="8" xfId="0" applyNumberFormat="1" applyFont="1" applyFill="1" applyBorder="1" applyAlignment="1">
      <alignment horizontal="center"/>
    </xf>
    <xf numFmtId="204" fontId="16" fillId="2" borderId="14" xfId="0" applyNumberFormat="1" applyFont="1" applyFill="1" applyBorder="1" applyAlignment="1">
      <alignment horizontal="center"/>
    </xf>
    <xf numFmtId="204" fontId="8" fillId="2" borderId="7" xfId="0" applyNumberFormat="1" applyFont="1" applyFill="1" applyBorder="1" applyAlignment="1">
      <alignment horizontal="center"/>
    </xf>
    <xf numFmtId="204" fontId="7" fillId="2" borderId="25" xfId="0" applyNumberFormat="1" applyFont="1" applyFill="1" applyBorder="1" applyAlignment="1">
      <alignment horizontal="center"/>
    </xf>
    <xf numFmtId="204" fontId="16" fillId="2" borderId="26" xfId="0" applyNumberFormat="1" applyFont="1" applyFill="1" applyBorder="1" applyAlignment="1">
      <alignment horizontal="center"/>
    </xf>
    <xf numFmtId="204" fontId="6" fillId="2" borderId="14" xfId="0" applyNumberFormat="1" applyFont="1" applyFill="1" applyBorder="1" applyAlignment="1">
      <alignment horizontal="center"/>
    </xf>
    <xf numFmtId="204" fontId="5" fillId="2" borderId="14" xfId="0" applyNumberFormat="1" applyFont="1" applyFill="1" applyBorder="1" applyAlignment="1">
      <alignment horizontal="center"/>
    </xf>
    <xf numFmtId="204" fontId="8" fillId="2" borderId="14" xfId="0" applyNumberFormat="1" applyFont="1" applyFill="1" applyBorder="1" applyAlignment="1">
      <alignment horizontal="center"/>
    </xf>
    <xf numFmtId="2" fontId="7" fillId="2" borderId="0" xfId="0" applyNumberFormat="1" applyFont="1" applyFill="1" applyBorder="1" applyAlignment="1">
      <alignment horizontal="center"/>
    </xf>
    <xf numFmtId="204" fontId="6" fillId="2" borderId="13" xfId="0" applyNumberFormat="1" applyFont="1" applyFill="1" applyBorder="1" applyAlignment="1">
      <alignment horizontal="center"/>
    </xf>
    <xf numFmtId="204" fontId="7" fillId="2" borderId="15" xfId="0" applyNumberFormat="1" applyFont="1" applyFill="1" applyBorder="1" applyAlignment="1">
      <alignment horizontal="center"/>
    </xf>
    <xf numFmtId="204" fontId="16" fillId="0" borderId="44" xfId="0" applyNumberFormat="1" applyFont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204" fontId="16" fillId="2" borderId="0" xfId="0" applyNumberFormat="1" applyFont="1" applyFill="1" applyBorder="1" applyAlignment="1">
      <alignment horizontal="center"/>
    </xf>
    <xf numFmtId="204" fontId="6" fillId="2" borderId="25" xfId="0" applyNumberFormat="1" applyFont="1" applyFill="1" applyBorder="1" applyAlignment="1">
      <alignment horizontal="center"/>
    </xf>
    <xf numFmtId="2" fontId="5" fillId="2" borderId="20" xfId="0" applyNumberFormat="1" applyFont="1" applyFill="1" applyBorder="1" applyAlignment="1">
      <alignment horizontal="center"/>
    </xf>
    <xf numFmtId="2" fontId="5" fillId="2" borderId="21" xfId="0" applyNumberFormat="1" applyFont="1" applyFill="1" applyBorder="1" applyAlignment="1">
      <alignment horizontal="center" vertical="center"/>
    </xf>
    <xf numFmtId="204" fontId="16" fillId="2" borderId="45" xfId="0" applyNumberFormat="1" applyFont="1" applyFill="1" applyBorder="1" applyAlignment="1">
      <alignment horizontal="center"/>
    </xf>
    <xf numFmtId="204" fontId="2" fillId="2" borderId="45" xfId="0" applyNumberFormat="1" applyFont="1" applyFill="1" applyBorder="1" applyAlignment="1">
      <alignment horizontal="center"/>
    </xf>
    <xf numFmtId="204" fontId="2" fillId="2" borderId="8" xfId="0" applyNumberFormat="1" applyFont="1" applyFill="1" applyBorder="1" applyAlignment="1">
      <alignment horizontal="center"/>
    </xf>
    <xf numFmtId="204" fontId="2" fillId="2" borderId="46" xfId="0" applyNumberFormat="1" applyFont="1" applyFill="1" applyBorder="1" applyAlignment="1">
      <alignment horizontal="center"/>
    </xf>
    <xf numFmtId="204" fontId="2" fillId="2" borderId="11" xfId="0" applyNumberFormat="1" applyFont="1" applyFill="1" applyBorder="1" applyAlignment="1">
      <alignment horizontal="center"/>
    </xf>
    <xf numFmtId="204" fontId="5" fillId="2" borderId="12" xfId="0" applyNumberFormat="1" applyFont="1" applyFill="1" applyBorder="1" applyAlignment="1">
      <alignment horizontal="center"/>
    </xf>
    <xf numFmtId="2" fontId="2" fillId="2" borderId="45" xfId="0" applyNumberFormat="1" applyFont="1" applyFill="1" applyBorder="1" applyAlignment="1">
      <alignment horizontal="center"/>
    </xf>
    <xf numFmtId="204" fontId="5" fillId="2" borderId="11" xfId="0" applyNumberFormat="1" applyFont="1" applyFill="1" applyBorder="1" applyAlignment="1">
      <alignment horizontal="center"/>
    </xf>
    <xf numFmtId="2" fontId="5" fillId="2" borderId="12" xfId="0" applyNumberFormat="1" applyFont="1" applyFill="1" applyBorder="1" applyAlignment="1">
      <alignment horizontal="center"/>
    </xf>
    <xf numFmtId="2" fontId="12" fillId="2" borderId="26" xfId="0" applyNumberFormat="1" applyFont="1" applyFill="1" applyBorder="1" applyAlignment="1">
      <alignment horizontal="center" vertical="center"/>
    </xf>
    <xf numFmtId="204" fontId="0" fillId="2" borderId="47" xfId="0" applyNumberFormat="1" applyFill="1" applyBorder="1"/>
    <xf numFmtId="204" fontId="0" fillId="2" borderId="23" xfId="0" applyNumberFormat="1" applyFill="1" applyBorder="1"/>
    <xf numFmtId="204" fontId="0" fillId="0" borderId="48" xfId="0" applyNumberFormat="1" applyBorder="1"/>
    <xf numFmtId="204" fontId="0" fillId="0" borderId="47" xfId="0" applyNumberFormat="1" applyBorder="1"/>
    <xf numFmtId="204" fontId="0" fillId="0" borderId="49" xfId="0" applyNumberFormat="1" applyBorder="1"/>
    <xf numFmtId="204" fontId="0" fillId="0" borderId="50" xfId="0" applyNumberFormat="1" applyBorder="1"/>
    <xf numFmtId="2" fontId="15" fillId="0" borderId="47" xfId="0" applyNumberFormat="1" applyFont="1" applyBorder="1"/>
    <xf numFmtId="2" fontId="15" fillId="0" borderId="51" xfId="0" applyNumberFormat="1" applyFont="1" applyBorder="1"/>
    <xf numFmtId="2" fontId="0" fillId="0" borderId="52" xfId="0" applyNumberFormat="1" applyBorder="1"/>
    <xf numFmtId="204" fontId="16" fillId="0" borderId="3" xfId="0" applyNumberFormat="1" applyFont="1" applyBorder="1" applyAlignment="1">
      <alignment horizontal="center"/>
    </xf>
    <xf numFmtId="204" fontId="16" fillId="0" borderId="32" xfId="0" applyNumberFormat="1" applyFont="1" applyBorder="1" applyAlignment="1">
      <alignment horizontal="center"/>
    </xf>
    <xf numFmtId="2" fontId="8" fillId="0" borderId="47" xfId="0" applyNumberFormat="1" applyFont="1" applyBorder="1"/>
    <xf numFmtId="0" fontId="5" fillId="0" borderId="5" xfId="0" applyFont="1" applyBorder="1" applyAlignment="1">
      <alignment horizontal="center"/>
    </xf>
    <xf numFmtId="49" fontId="5" fillId="0" borderId="2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5" fillId="0" borderId="12" xfId="0" applyFont="1" applyBorder="1"/>
    <xf numFmtId="204" fontId="16" fillId="0" borderId="11" xfId="0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49" fontId="5" fillId="2" borderId="11" xfId="0" applyNumberFormat="1" applyFont="1" applyFill="1" applyBorder="1" applyAlignment="1">
      <alignment horizontal="center"/>
    </xf>
    <xf numFmtId="0" fontId="6" fillId="2" borderId="12" xfId="0" applyFont="1" applyFill="1" applyBorder="1"/>
    <xf numFmtId="204" fontId="6" fillId="2" borderId="11" xfId="0" applyNumberFormat="1" applyFont="1" applyFill="1" applyBorder="1" applyAlignment="1">
      <alignment horizontal="center"/>
    </xf>
    <xf numFmtId="204" fontId="16" fillId="2" borderId="11" xfId="0" applyNumberFormat="1" applyFont="1" applyFill="1" applyBorder="1" applyAlignment="1">
      <alignment horizontal="center"/>
    </xf>
    <xf numFmtId="204" fontId="0" fillId="2" borderId="50" xfId="0" applyNumberFormat="1" applyFill="1" applyBorder="1"/>
    <xf numFmtId="204" fontId="0" fillId="2" borderId="33" xfId="0" applyNumberFormat="1" applyFill="1" applyBorder="1"/>
    <xf numFmtId="204" fontId="0" fillId="2" borderId="34" xfId="0" applyNumberFormat="1" applyFill="1" applyBorder="1"/>
    <xf numFmtId="204" fontId="7" fillId="0" borderId="12" xfId="0" applyNumberFormat="1" applyFont="1" applyBorder="1" applyAlignment="1">
      <alignment horizontal="center"/>
    </xf>
    <xf numFmtId="204" fontId="7" fillId="2" borderId="12" xfId="0" applyNumberFormat="1" applyFont="1" applyFill="1" applyBorder="1" applyAlignment="1">
      <alignment horizontal="center"/>
    </xf>
    <xf numFmtId="204" fontId="2" fillId="2" borderId="7" xfId="0" applyNumberFormat="1" applyFont="1" applyFill="1" applyBorder="1" applyAlignment="1">
      <alignment horizontal="center"/>
    </xf>
    <xf numFmtId="204" fontId="5" fillId="2" borderId="11" xfId="0" applyNumberFormat="1" applyFont="1" applyFill="1" applyBorder="1" applyAlignment="1">
      <alignment horizontal="center"/>
    </xf>
    <xf numFmtId="204" fontId="2" fillId="2" borderId="7" xfId="0" applyNumberFormat="1" applyFont="1" applyFill="1" applyBorder="1" applyAlignment="1">
      <alignment horizontal="center"/>
    </xf>
    <xf numFmtId="204" fontId="2" fillId="0" borderId="4" xfId="0" applyNumberFormat="1" applyFont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204" fontId="2" fillId="2" borderId="13" xfId="0" applyNumberFormat="1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204" fontId="8" fillId="0" borderId="37" xfId="0" applyNumberFormat="1" applyFont="1" applyBorder="1"/>
    <xf numFmtId="204" fontId="8" fillId="0" borderId="38" xfId="0" applyNumberFormat="1" applyFont="1" applyBorder="1"/>
    <xf numFmtId="204" fontId="6" fillId="2" borderId="9" xfId="0" applyNumberFormat="1" applyFont="1" applyFill="1" applyBorder="1" applyAlignment="1">
      <alignment horizontal="center"/>
    </xf>
    <xf numFmtId="2" fontId="8" fillId="2" borderId="14" xfId="0" applyNumberFormat="1" applyFont="1" applyFill="1" applyBorder="1" applyAlignment="1">
      <alignment horizontal="center"/>
    </xf>
    <xf numFmtId="204" fontId="2" fillId="0" borderId="45" xfId="0" applyNumberFormat="1" applyFont="1" applyBorder="1" applyAlignment="1">
      <alignment horizontal="center"/>
    </xf>
    <xf numFmtId="204" fontId="2" fillId="0" borderId="22" xfId="0" applyNumberFormat="1" applyFont="1" applyBorder="1" applyAlignment="1">
      <alignment horizontal="center"/>
    </xf>
    <xf numFmtId="204" fontId="2" fillId="0" borderId="23" xfId="0" applyNumberFormat="1" applyFont="1" applyBorder="1" applyAlignment="1">
      <alignment horizontal="center"/>
    </xf>
    <xf numFmtId="0" fontId="2" fillId="0" borderId="17" xfId="0" applyFont="1" applyBorder="1"/>
    <xf numFmtId="204" fontId="2" fillId="0" borderId="0" xfId="0" applyNumberFormat="1" applyFont="1" applyBorder="1" applyAlignment="1">
      <alignment horizontal="center"/>
    </xf>
    <xf numFmtId="2" fontId="2" fillId="0" borderId="53" xfId="0" applyNumberFormat="1" applyFont="1" applyBorder="1" applyAlignment="1">
      <alignment horizontal="center"/>
    </xf>
    <xf numFmtId="2" fontId="2" fillId="0" borderId="54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204" fontId="2" fillId="0" borderId="55" xfId="0" applyNumberFormat="1" applyFont="1" applyBorder="1" applyAlignment="1">
      <alignment horizontal="center"/>
    </xf>
    <xf numFmtId="204" fontId="15" fillId="0" borderId="7" xfId="0" applyNumberFormat="1" applyFont="1" applyBorder="1" applyAlignment="1">
      <alignment horizontal="center"/>
    </xf>
    <xf numFmtId="204" fontId="15" fillId="0" borderId="8" xfId="0" applyNumberFormat="1" applyFont="1" applyBorder="1" applyAlignment="1">
      <alignment horizontal="center"/>
    </xf>
    <xf numFmtId="2" fontId="15" fillId="0" borderId="45" xfId="0" applyNumberFormat="1" applyFont="1" applyBorder="1"/>
    <xf numFmtId="204" fontId="8" fillId="0" borderId="55" xfId="0" applyNumberFormat="1" applyFont="1" applyBorder="1" applyAlignment="1">
      <alignment horizontal="center"/>
    </xf>
    <xf numFmtId="2" fontId="17" fillId="2" borderId="8" xfId="0" applyNumberFormat="1" applyFont="1" applyFill="1" applyBorder="1" applyAlignment="1">
      <alignment horizontal="center"/>
    </xf>
    <xf numFmtId="49" fontId="5" fillId="2" borderId="20" xfId="0" applyNumberFormat="1" applyFont="1" applyFill="1" applyBorder="1" applyAlignment="1">
      <alignment horizontal="center"/>
    </xf>
    <xf numFmtId="0" fontId="10" fillId="0" borderId="11" xfId="0" applyFont="1" applyBorder="1"/>
    <xf numFmtId="2" fontId="15" fillId="0" borderId="40" xfId="0" applyNumberFormat="1" applyFont="1" applyBorder="1"/>
    <xf numFmtId="2" fontId="5" fillId="0" borderId="40" xfId="0" applyNumberFormat="1" applyFont="1" applyBorder="1" applyAlignment="1">
      <alignment horizontal="center"/>
    </xf>
    <xf numFmtId="204" fontId="8" fillId="0" borderId="23" xfId="0" applyNumberFormat="1" applyFont="1" applyBorder="1" applyAlignment="1">
      <alignment horizontal="center"/>
    </xf>
    <xf numFmtId="204" fontId="5" fillId="0" borderId="9" xfId="0" applyNumberFormat="1" applyFont="1" applyBorder="1" applyAlignment="1">
      <alignment horizontal="center"/>
    </xf>
    <xf numFmtId="204" fontId="5" fillId="0" borderId="5" xfId="0" applyNumberFormat="1" applyFont="1" applyBorder="1" applyAlignment="1">
      <alignment horizontal="center"/>
    </xf>
    <xf numFmtId="204" fontId="8" fillId="0" borderId="47" xfId="0" applyNumberFormat="1" applyFont="1" applyBorder="1"/>
    <xf numFmtId="2" fontId="15" fillId="0" borderId="23" xfId="0" applyNumberFormat="1" applyFont="1" applyBorder="1"/>
    <xf numFmtId="2" fontId="2" fillId="0" borderId="55" xfId="0" applyNumberFormat="1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2" fontId="5" fillId="0" borderId="56" xfId="0" applyNumberFormat="1" applyFont="1" applyBorder="1" applyAlignment="1">
      <alignment horizontal="center"/>
    </xf>
    <xf numFmtId="204" fontId="5" fillId="0" borderId="56" xfId="0" applyNumberFormat="1" applyFont="1" applyBorder="1" applyAlignment="1">
      <alignment horizontal="center"/>
    </xf>
    <xf numFmtId="204" fontId="5" fillId="0" borderId="37" xfId="0" applyNumberFormat="1" applyFont="1" applyBorder="1" applyAlignment="1">
      <alignment horizontal="center"/>
    </xf>
    <xf numFmtId="204" fontId="5" fillId="0" borderId="45" xfId="0" applyNumberFormat="1" applyFont="1" applyBorder="1" applyAlignment="1">
      <alignment horizontal="center"/>
    </xf>
    <xf numFmtId="204" fontId="16" fillId="2" borderId="7" xfId="0" applyNumberFormat="1" applyFont="1" applyFill="1" applyBorder="1" applyAlignment="1">
      <alignment horizontal="center"/>
    </xf>
    <xf numFmtId="0" fontId="0" fillId="3" borderId="0" xfId="0" applyFill="1"/>
    <xf numFmtId="2" fontId="0" fillId="0" borderId="0" xfId="0" applyNumberFormat="1"/>
    <xf numFmtId="204" fontId="8" fillId="0" borderId="39" xfId="0" applyNumberFormat="1" applyFont="1" applyBorder="1" applyAlignment="1">
      <alignment horizontal="center"/>
    </xf>
    <xf numFmtId="204" fontId="16" fillId="0" borderId="57" xfId="0" applyNumberFormat="1" applyFont="1" applyBorder="1" applyAlignment="1">
      <alignment horizontal="center"/>
    </xf>
    <xf numFmtId="204" fontId="8" fillId="0" borderId="35" xfId="0" applyNumberFormat="1" applyFont="1" applyBorder="1" applyAlignment="1">
      <alignment horizontal="center"/>
    </xf>
    <xf numFmtId="204" fontId="16" fillId="0" borderId="33" xfId="0" applyNumberFormat="1" applyFont="1" applyBorder="1" applyAlignment="1">
      <alignment horizontal="center"/>
    </xf>
    <xf numFmtId="204" fontId="5" fillId="2" borderId="4" xfId="0" applyNumberFormat="1" applyFont="1" applyFill="1" applyBorder="1" applyAlignment="1">
      <alignment horizontal="center"/>
    </xf>
    <xf numFmtId="204" fontId="2" fillId="2" borderId="55" xfId="0" applyNumberFormat="1" applyFont="1" applyFill="1" applyBorder="1" applyAlignment="1">
      <alignment horizontal="center"/>
    </xf>
    <xf numFmtId="204" fontId="2" fillId="2" borderId="23" xfId="0" applyNumberFormat="1" applyFont="1" applyFill="1" applyBorder="1" applyAlignment="1">
      <alignment horizontal="center"/>
    </xf>
    <xf numFmtId="204" fontId="2" fillId="2" borderId="0" xfId="0" applyNumberFormat="1" applyFont="1" applyFill="1" applyBorder="1" applyAlignment="1">
      <alignment horizontal="center"/>
    </xf>
    <xf numFmtId="204" fontId="2" fillId="2" borderId="22" xfId="0" applyNumberFormat="1" applyFont="1" applyFill="1" applyBorder="1" applyAlignment="1">
      <alignment horizontal="center"/>
    </xf>
    <xf numFmtId="2" fontId="2" fillId="2" borderId="22" xfId="0" applyNumberFormat="1" applyFont="1" applyFill="1" applyBorder="1" applyAlignment="1">
      <alignment horizontal="center"/>
    </xf>
    <xf numFmtId="2" fontId="2" fillId="2" borderId="23" xfId="0" applyNumberFormat="1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3" xfId="0" applyFont="1" applyBorder="1" applyAlignment="1">
      <alignment wrapText="1"/>
    </xf>
    <xf numFmtId="204" fontId="6" fillId="2" borderId="4" xfId="0" applyNumberFormat="1" applyFont="1" applyFill="1" applyBorder="1" applyAlignment="1">
      <alignment horizontal="center"/>
    </xf>
    <xf numFmtId="204" fontId="6" fillId="2" borderId="13" xfId="0" applyNumberFormat="1" applyFont="1" applyFill="1" applyBorder="1" applyAlignment="1">
      <alignment horizontal="center"/>
    </xf>
    <xf numFmtId="204" fontId="0" fillId="2" borderId="49" xfId="0" applyNumberFormat="1" applyFill="1" applyBorder="1"/>
    <xf numFmtId="204" fontId="0" fillId="2" borderId="31" xfId="0" applyNumberFormat="1" applyFill="1" applyBorder="1"/>
    <xf numFmtId="204" fontId="0" fillId="2" borderId="32" xfId="0" applyNumberFormat="1" applyFill="1" applyBorder="1"/>
    <xf numFmtId="204" fontId="16" fillId="2" borderId="4" xfId="0" applyNumberFormat="1" applyFont="1" applyFill="1" applyBorder="1" applyAlignment="1">
      <alignment horizontal="center"/>
    </xf>
    <xf numFmtId="0" fontId="6" fillId="0" borderId="4" xfId="0" applyFont="1" applyBorder="1" applyAlignment="1">
      <alignment wrapText="1"/>
    </xf>
    <xf numFmtId="204" fontId="16" fillId="2" borderId="58" xfId="0" applyNumberFormat="1" applyFont="1" applyFill="1" applyBorder="1" applyAlignment="1">
      <alignment horizontal="center"/>
    </xf>
    <xf numFmtId="2" fontId="16" fillId="2" borderId="58" xfId="0" applyNumberFormat="1" applyFont="1" applyFill="1" applyBorder="1" applyAlignment="1">
      <alignment horizontal="center"/>
    </xf>
    <xf numFmtId="204" fontId="8" fillId="2" borderId="13" xfId="0" applyNumberFormat="1" applyFont="1" applyFill="1" applyBorder="1" applyAlignment="1">
      <alignment horizontal="center"/>
    </xf>
    <xf numFmtId="2" fontId="8" fillId="2" borderId="13" xfId="0" applyNumberFormat="1" applyFont="1" applyFill="1" applyBorder="1" applyAlignment="1">
      <alignment horizontal="center"/>
    </xf>
    <xf numFmtId="0" fontId="4" fillId="0" borderId="59" xfId="0" applyFont="1" applyBorder="1" applyAlignment="1">
      <alignment horizontal="center"/>
    </xf>
    <xf numFmtId="0" fontId="4" fillId="0" borderId="1" xfId="0" applyFont="1" applyBorder="1"/>
    <xf numFmtId="204" fontId="16" fillId="0" borderId="60" xfId="0" applyNumberFormat="1" applyFont="1" applyBorder="1" applyAlignment="1">
      <alignment horizontal="center"/>
    </xf>
    <xf numFmtId="204" fontId="5" fillId="0" borderId="1" xfId="0" applyNumberFormat="1" applyFont="1" applyBorder="1" applyAlignment="1">
      <alignment horizontal="center"/>
    </xf>
    <xf numFmtId="204" fontId="8" fillId="0" borderId="1" xfId="0" applyNumberFormat="1" applyFont="1" applyBorder="1" applyAlignment="1">
      <alignment horizontal="center"/>
    </xf>
    <xf numFmtId="204" fontId="6" fillId="0" borderId="61" xfId="0" applyNumberFormat="1" applyFont="1" applyBorder="1" applyAlignment="1">
      <alignment horizontal="center"/>
    </xf>
    <xf numFmtId="2" fontId="8" fillId="0" borderId="61" xfId="0" applyNumberFormat="1" applyFont="1" applyBorder="1"/>
    <xf numFmtId="2" fontId="8" fillId="0" borderId="62" xfId="0" applyNumberFormat="1" applyFont="1" applyBorder="1"/>
    <xf numFmtId="0" fontId="4" fillId="0" borderId="63" xfId="0" applyFont="1" applyBorder="1" applyAlignment="1">
      <alignment horizontal="center"/>
    </xf>
    <xf numFmtId="204" fontId="15" fillId="0" borderId="15" xfId="0" applyNumberFormat="1" applyFont="1" applyBorder="1" applyAlignment="1">
      <alignment horizontal="center"/>
    </xf>
    <xf numFmtId="204" fontId="5" fillId="0" borderId="53" xfId="0" applyNumberFormat="1" applyFont="1" applyBorder="1" applyAlignment="1">
      <alignment horizontal="center"/>
    </xf>
    <xf numFmtId="2" fontId="15" fillId="0" borderId="53" xfId="0" applyNumberFormat="1" applyFont="1" applyBorder="1"/>
    <xf numFmtId="2" fontId="15" fillId="0" borderId="54" xfId="0" applyNumberFormat="1" applyFont="1" applyBorder="1"/>
    <xf numFmtId="204" fontId="8" fillId="0" borderId="36" xfId="0" applyNumberFormat="1" applyFont="1" applyBorder="1" applyAlignment="1">
      <alignment horizontal="center"/>
    </xf>
    <xf numFmtId="204" fontId="2" fillId="2" borderId="5" xfId="0" applyNumberFormat="1" applyFont="1" applyFill="1" applyBorder="1" applyAlignment="1">
      <alignment horizontal="center"/>
    </xf>
    <xf numFmtId="208" fontId="0" fillId="0" borderId="0" xfId="0" applyNumberFormat="1"/>
    <xf numFmtId="204" fontId="8" fillId="0" borderId="9" xfId="0" applyNumberFormat="1" applyFont="1" applyBorder="1"/>
    <xf numFmtId="204" fontId="6" fillId="0" borderId="39" xfId="0" applyNumberFormat="1" applyFont="1" applyBorder="1" applyAlignment="1">
      <alignment horizontal="center"/>
    </xf>
    <xf numFmtId="204" fontId="6" fillId="0" borderId="35" xfId="0" applyNumberFormat="1" applyFont="1" applyBorder="1" applyAlignment="1">
      <alignment horizontal="center"/>
    </xf>
    <xf numFmtId="208" fontId="8" fillId="0" borderId="0" xfId="0" applyNumberFormat="1" applyFont="1"/>
    <xf numFmtId="208" fontId="8" fillId="0" borderId="14" xfId="0" applyNumberFormat="1" applyFont="1" applyBorder="1"/>
    <xf numFmtId="204" fontId="16" fillId="2" borderId="34" xfId="0" applyNumberFormat="1" applyFont="1" applyFill="1" applyBorder="1" applyAlignment="1">
      <alignment horizontal="center"/>
    </xf>
    <xf numFmtId="204" fontId="16" fillId="2" borderId="32" xfId="0" applyNumberFormat="1" applyFont="1" applyFill="1" applyBorder="1" applyAlignment="1">
      <alignment horizontal="center"/>
    </xf>
    <xf numFmtId="204" fontId="8" fillId="2" borderId="23" xfId="0" applyNumberFormat="1" applyFont="1" applyFill="1" applyBorder="1" applyAlignment="1">
      <alignment horizontal="center"/>
    </xf>
    <xf numFmtId="204" fontId="6" fillId="0" borderId="24" xfId="0" applyNumberFormat="1" applyFont="1" applyBorder="1" applyAlignment="1">
      <alignment horizontal="center"/>
    </xf>
    <xf numFmtId="204" fontId="6" fillId="0" borderId="36" xfId="0" applyNumberFormat="1" applyFont="1" applyBorder="1" applyAlignment="1">
      <alignment horizontal="center"/>
    </xf>
    <xf numFmtId="208" fontId="0" fillId="0" borderId="14" xfId="0" applyNumberFormat="1" applyBorder="1"/>
    <xf numFmtId="204" fontId="2" fillId="2" borderId="9" xfId="0" applyNumberFormat="1" applyFont="1" applyFill="1" applyBorder="1" applyAlignment="1">
      <alignment horizontal="center"/>
    </xf>
    <xf numFmtId="2" fontId="2" fillId="2" borderId="47" xfId="0" applyNumberFormat="1" applyFont="1" applyFill="1" applyBorder="1" applyAlignment="1">
      <alignment horizontal="center"/>
    </xf>
    <xf numFmtId="204" fontId="2" fillId="2" borderId="47" xfId="0" applyNumberFormat="1" applyFont="1" applyFill="1" applyBorder="1" applyAlignment="1">
      <alignment horizontal="center"/>
    </xf>
    <xf numFmtId="2" fontId="2" fillId="0" borderId="63" xfId="0" applyNumberFormat="1" applyFont="1" applyBorder="1" applyAlignment="1">
      <alignment horizontal="center"/>
    </xf>
    <xf numFmtId="204" fontId="2" fillId="0" borderId="47" xfId="0" applyNumberFormat="1" applyFont="1" applyBorder="1" applyAlignment="1">
      <alignment horizontal="center"/>
    </xf>
    <xf numFmtId="2" fontId="8" fillId="0" borderId="64" xfId="0" applyNumberFormat="1" applyFont="1" applyBorder="1"/>
    <xf numFmtId="2" fontId="2" fillId="0" borderId="9" xfId="0" applyNumberFormat="1" applyFont="1" applyBorder="1" applyAlignment="1">
      <alignment horizontal="center"/>
    </xf>
    <xf numFmtId="2" fontId="5" fillId="0" borderId="48" xfId="0" applyNumberFormat="1" applyFont="1" applyBorder="1" applyAlignment="1">
      <alignment horizontal="center"/>
    </xf>
    <xf numFmtId="2" fontId="15" fillId="0" borderId="65" xfId="0" applyNumberFormat="1" applyFont="1" applyBorder="1"/>
    <xf numFmtId="204" fontId="16" fillId="0" borderId="10" xfId="0" applyNumberFormat="1" applyFont="1" applyBorder="1" applyAlignment="1">
      <alignment horizontal="center"/>
    </xf>
    <xf numFmtId="204" fontId="8" fillId="0" borderId="9" xfId="0" applyNumberFormat="1" applyFont="1" applyBorder="1" applyAlignment="1">
      <alignment horizontal="center"/>
    </xf>
    <xf numFmtId="204" fontId="0" fillId="0" borderId="66" xfId="0" applyNumberFormat="1" applyBorder="1"/>
    <xf numFmtId="204" fontId="8" fillId="0" borderId="24" xfId="0" applyNumberFormat="1" applyFont="1" applyBorder="1" applyAlignment="1">
      <alignment horizontal="center"/>
    </xf>
    <xf numFmtId="204" fontId="8" fillId="2" borderId="47" xfId="0" applyNumberFormat="1" applyFont="1" applyFill="1" applyBorder="1"/>
    <xf numFmtId="204" fontId="2" fillId="0" borderId="50" xfId="0" applyNumberFormat="1" applyFont="1" applyBorder="1" applyAlignment="1">
      <alignment horizontal="center"/>
    </xf>
    <xf numFmtId="204" fontId="2" fillId="0" borderId="33" xfId="0" applyNumberFormat="1" applyFont="1" applyBorder="1" applyAlignment="1">
      <alignment horizontal="center"/>
    </xf>
    <xf numFmtId="204" fontId="2" fillId="0" borderId="34" xfId="0" applyNumberFormat="1" applyFont="1" applyBorder="1" applyAlignment="1">
      <alignment horizontal="center"/>
    </xf>
    <xf numFmtId="206" fontId="0" fillId="0" borderId="0" xfId="0" applyNumberFormat="1"/>
    <xf numFmtId="204" fontId="2" fillId="2" borderId="50" xfId="0" applyNumberFormat="1" applyFont="1" applyFill="1" applyBorder="1" applyAlignment="1">
      <alignment horizontal="center"/>
    </xf>
    <xf numFmtId="204" fontId="2" fillId="2" borderId="42" xfId="0" applyNumberFormat="1" applyFont="1" applyFill="1" applyBorder="1" applyAlignment="1">
      <alignment horizontal="center"/>
    </xf>
    <xf numFmtId="204" fontId="8" fillId="0" borderId="3" xfId="0" applyNumberFormat="1" applyFont="1" applyBorder="1" applyAlignment="1">
      <alignment horizontal="center"/>
    </xf>
    <xf numFmtId="204" fontId="8" fillId="0" borderId="32" xfId="0" applyNumberFormat="1" applyFont="1" applyBorder="1" applyAlignment="1">
      <alignment horizontal="center"/>
    </xf>
    <xf numFmtId="204" fontId="8" fillId="0" borderId="31" xfId="0" applyNumberFormat="1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0" borderId="23" xfId="0" applyFont="1" applyBorder="1" applyAlignment="1">
      <alignment horizontal="center"/>
    </xf>
    <xf numFmtId="204" fontId="7" fillId="0" borderId="50" xfId="0" applyNumberFormat="1" applyFont="1" applyBorder="1" applyAlignment="1">
      <alignment horizontal="center"/>
    </xf>
    <xf numFmtId="204" fontId="7" fillId="0" borderId="33" xfId="0" applyNumberFormat="1" applyFont="1" applyBorder="1" applyAlignment="1">
      <alignment horizontal="center"/>
    </xf>
    <xf numFmtId="204" fontId="7" fillId="0" borderId="34" xfId="0" applyNumberFormat="1" applyFont="1" applyBorder="1" applyAlignment="1">
      <alignment horizontal="center"/>
    </xf>
    <xf numFmtId="0" fontId="6" fillId="0" borderId="52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6" fillId="0" borderId="67" xfId="0" applyFont="1" applyBorder="1" applyAlignment="1">
      <alignment horizontal="center"/>
    </xf>
    <xf numFmtId="0" fontId="6" fillId="0" borderId="68" xfId="0" applyFont="1" applyBorder="1" applyAlignment="1">
      <alignment horizontal="center"/>
    </xf>
    <xf numFmtId="204" fontId="2" fillId="2" borderId="40" xfId="0" applyNumberFormat="1" applyFont="1" applyFill="1" applyBorder="1" applyAlignment="1">
      <alignment horizontal="center"/>
    </xf>
    <xf numFmtId="204" fontId="8" fillId="0" borderId="49" xfId="0" applyNumberFormat="1" applyFont="1" applyBorder="1" applyAlignment="1">
      <alignment horizontal="center"/>
    </xf>
    <xf numFmtId="204" fontId="8" fillId="0" borderId="58" xfId="0" applyNumberFormat="1" applyFont="1" applyBorder="1" applyAlignment="1">
      <alignment horizontal="center"/>
    </xf>
    <xf numFmtId="204" fontId="8" fillId="0" borderId="41" xfId="0" applyNumberFormat="1" applyFont="1" applyBorder="1" applyAlignment="1">
      <alignment horizontal="center"/>
    </xf>
    <xf numFmtId="204" fontId="7" fillId="0" borderId="47" xfId="0" applyNumberFormat="1" applyFont="1" applyBorder="1" applyAlignment="1">
      <alignment horizontal="center"/>
    </xf>
    <xf numFmtId="204" fontId="7" fillId="0" borderId="22" xfId="0" applyNumberFormat="1" applyFont="1" applyBorder="1" applyAlignment="1">
      <alignment horizontal="center"/>
    </xf>
    <xf numFmtId="204" fontId="7" fillId="0" borderId="23" xfId="0" applyNumberFormat="1" applyFont="1" applyBorder="1" applyAlignment="1">
      <alignment horizontal="center"/>
    </xf>
    <xf numFmtId="204" fontId="6" fillId="0" borderId="50" xfId="0" applyNumberFormat="1" applyFont="1" applyBorder="1" applyAlignment="1">
      <alignment horizontal="center"/>
    </xf>
    <xf numFmtId="204" fontId="6" fillId="0" borderId="33" xfId="0" applyNumberFormat="1" applyFont="1" applyBorder="1" applyAlignment="1">
      <alignment horizontal="center"/>
    </xf>
    <xf numFmtId="204" fontId="6" fillId="0" borderId="34" xfId="0" applyNumberFormat="1" applyFont="1" applyBorder="1" applyAlignment="1">
      <alignment horizontal="center"/>
    </xf>
    <xf numFmtId="204" fontId="8" fillId="0" borderId="52" xfId="0" applyNumberFormat="1" applyFont="1" applyBorder="1" applyAlignment="1">
      <alignment horizontal="center"/>
    </xf>
    <xf numFmtId="204" fontId="8" fillId="0" borderId="67" xfId="0" applyNumberFormat="1" applyFont="1" applyBorder="1" applyAlignment="1">
      <alignment horizontal="center"/>
    </xf>
    <xf numFmtId="204" fontId="8" fillId="0" borderId="68" xfId="0" applyNumberFormat="1" applyFont="1" applyBorder="1" applyAlignment="1">
      <alignment horizontal="center"/>
    </xf>
    <xf numFmtId="204" fontId="8" fillId="0" borderId="48" xfId="0" applyNumberFormat="1" applyFont="1" applyBorder="1" applyAlignment="1">
      <alignment horizontal="center"/>
    </xf>
    <xf numFmtId="204" fontId="8" fillId="0" borderId="56" xfId="0" applyNumberFormat="1" applyFont="1" applyBorder="1" applyAlignment="1">
      <alignment horizontal="center"/>
    </xf>
    <xf numFmtId="204" fontId="8" fillId="0" borderId="69" xfId="0" applyNumberFormat="1" applyFont="1" applyBorder="1" applyAlignment="1">
      <alignment horizontal="center"/>
    </xf>
    <xf numFmtId="204" fontId="7" fillId="0" borderId="66" xfId="0" applyNumberFormat="1" applyFont="1" applyBorder="1" applyAlignment="1">
      <alignment horizontal="center"/>
    </xf>
    <xf numFmtId="204" fontId="7" fillId="0" borderId="27" xfId="0" applyNumberFormat="1" applyFont="1" applyBorder="1" applyAlignment="1">
      <alignment horizontal="center"/>
    </xf>
    <xf numFmtId="204" fontId="7" fillId="0" borderId="30" xfId="0" applyNumberFormat="1" applyFont="1" applyBorder="1" applyAlignment="1">
      <alignment horizontal="center"/>
    </xf>
    <xf numFmtId="204" fontId="6" fillId="0" borderId="48" xfId="0" applyNumberFormat="1" applyFont="1" applyBorder="1" applyAlignment="1">
      <alignment horizontal="center"/>
    </xf>
    <xf numFmtId="204" fontId="6" fillId="0" borderId="56" xfId="0" applyNumberFormat="1" applyFont="1" applyBorder="1" applyAlignment="1">
      <alignment horizontal="center"/>
    </xf>
    <xf numFmtId="204" fontId="6" fillId="0" borderId="69" xfId="0" applyNumberFormat="1" applyFont="1" applyBorder="1" applyAlignment="1">
      <alignment horizontal="center"/>
    </xf>
    <xf numFmtId="204" fontId="8" fillId="0" borderId="51" xfId="0" applyNumberFormat="1" applyFont="1" applyBorder="1" applyAlignment="1">
      <alignment horizontal="center"/>
    </xf>
    <xf numFmtId="204" fontId="8" fillId="0" borderId="37" xfId="0" applyNumberFormat="1" applyFont="1" applyBorder="1" applyAlignment="1">
      <alignment horizontal="center"/>
    </xf>
    <xf numFmtId="204" fontId="8" fillId="0" borderId="38" xfId="0" applyNumberFormat="1" applyFont="1" applyBorder="1" applyAlignment="1">
      <alignment horizontal="center"/>
    </xf>
    <xf numFmtId="204" fontId="15" fillId="0" borderId="47" xfId="0" applyNumberFormat="1" applyFont="1" applyBorder="1" applyAlignment="1">
      <alignment horizontal="center"/>
    </xf>
    <xf numFmtId="204" fontId="15" fillId="0" borderId="22" xfId="0" applyNumberFormat="1" applyFont="1" applyBorder="1" applyAlignment="1">
      <alignment horizontal="center"/>
    </xf>
    <xf numFmtId="204" fontId="15" fillId="0" borderId="23" xfId="0" applyNumberFormat="1" applyFont="1" applyBorder="1" applyAlignment="1">
      <alignment horizontal="center"/>
    </xf>
    <xf numFmtId="204" fontId="5" fillId="0" borderId="47" xfId="0" applyNumberFormat="1" applyFont="1" applyBorder="1" applyAlignment="1">
      <alignment horizontal="center"/>
    </xf>
    <xf numFmtId="204" fontId="5" fillId="0" borderId="22" xfId="0" applyNumberFormat="1" applyFont="1" applyBorder="1" applyAlignment="1">
      <alignment horizontal="center"/>
    </xf>
    <xf numFmtId="204" fontId="5" fillId="0" borderId="23" xfId="0" applyNumberFormat="1" applyFont="1" applyBorder="1" applyAlignment="1">
      <alignment horizontal="center"/>
    </xf>
    <xf numFmtId="204" fontId="5" fillId="0" borderId="48" xfId="0" applyNumberFormat="1" applyFont="1" applyBorder="1" applyAlignment="1">
      <alignment horizontal="center"/>
    </xf>
    <xf numFmtId="204" fontId="5" fillId="0" borderId="38" xfId="0" applyNumberFormat="1" applyFont="1" applyBorder="1" applyAlignment="1">
      <alignment horizontal="center"/>
    </xf>
    <xf numFmtId="204" fontId="8" fillId="0" borderId="65" xfId="0" applyNumberFormat="1" applyFont="1" applyBorder="1" applyAlignment="1">
      <alignment horizontal="center"/>
    </xf>
    <xf numFmtId="204" fontId="8" fillId="0" borderId="53" xfId="0" applyNumberFormat="1" applyFont="1" applyBorder="1" applyAlignment="1">
      <alignment horizontal="center"/>
    </xf>
    <xf numFmtId="204" fontId="8" fillId="0" borderId="54" xfId="0" applyNumberFormat="1" applyFont="1" applyBorder="1" applyAlignment="1">
      <alignment horizontal="center"/>
    </xf>
    <xf numFmtId="204" fontId="8" fillId="0" borderId="44" xfId="0" applyNumberFormat="1" applyFont="1" applyBorder="1" applyAlignment="1">
      <alignment horizontal="center"/>
    </xf>
    <xf numFmtId="204" fontId="8" fillId="0" borderId="28" xfId="0" applyNumberFormat="1" applyFont="1" applyBorder="1" applyAlignment="1">
      <alignment horizontal="center"/>
    </xf>
    <xf numFmtId="204" fontId="8" fillId="0" borderId="29" xfId="0" applyNumberFormat="1" applyFont="1" applyBorder="1" applyAlignment="1">
      <alignment horizontal="center"/>
    </xf>
    <xf numFmtId="204" fontId="8" fillId="0" borderId="50" xfId="0" applyNumberFormat="1" applyFont="1" applyBorder="1" applyAlignment="1">
      <alignment horizontal="center"/>
    </xf>
    <xf numFmtId="204" fontId="8" fillId="0" borderId="46" xfId="0" applyNumberFormat="1" applyFont="1" applyBorder="1" applyAlignment="1">
      <alignment horizontal="center"/>
    </xf>
    <xf numFmtId="204" fontId="8" fillId="0" borderId="42" xfId="0" applyNumberFormat="1" applyFont="1" applyBorder="1" applyAlignment="1">
      <alignment horizontal="center"/>
    </xf>
    <xf numFmtId="204" fontId="0" fillId="0" borderId="35" xfId="0" applyNumberFormat="1" applyBorder="1" applyAlignment="1">
      <alignment horizontal="center"/>
    </xf>
    <xf numFmtId="204" fontId="0" fillId="0" borderId="36" xfId="0" applyNumberFormat="1" applyBorder="1" applyAlignment="1">
      <alignment horizontal="center"/>
    </xf>
    <xf numFmtId="204" fontId="0" fillId="2" borderId="22" xfId="0" applyNumberFormat="1" applyFill="1" applyBorder="1" applyAlignment="1">
      <alignment horizontal="center"/>
    </xf>
    <xf numFmtId="204" fontId="0" fillId="2" borderId="23" xfId="0" applyNumberFormat="1" applyFill="1" applyBorder="1" applyAlignment="1">
      <alignment horizontal="center"/>
    </xf>
    <xf numFmtId="204" fontId="2" fillId="2" borderId="28" xfId="0" applyNumberFormat="1" applyFont="1" applyFill="1" applyBorder="1" applyAlignment="1">
      <alignment horizontal="center"/>
    </xf>
    <xf numFmtId="204" fontId="2" fillId="2" borderId="70" xfId="0" applyNumberFormat="1" applyFont="1" applyFill="1" applyBorder="1" applyAlignment="1">
      <alignment horizontal="center"/>
    </xf>
    <xf numFmtId="204" fontId="2" fillId="2" borderId="29" xfId="0" applyNumberFormat="1" applyFont="1" applyFill="1" applyBorder="1" applyAlignment="1">
      <alignment horizontal="center"/>
    </xf>
    <xf numFmtId="204" fontId="8" fillId="2" borderId="3" xfId="0" applyNumberFormat="1" applyFont="1" applyFill="1" applyBorder="1"/>
    <xf numFmtId="204" fontId="8" fillId="2" borderId="31" xfId="0" applyNumberFormat="1" applyFont="1" applyFill="1" applyBorder="1"/>
    <xf numFmtId="204" fontId="2" fillId="2" borderId="16" xfId="0" applyNumberFormat="1" applyFont="1" applyFill="1" applyBorder="1" applyAlignment="1">
      <alignment horizontal="center"/>
    </xf>
    <xf numFmtId="204" fontId="5" fillId="2" borderId="22" xfId="0" applyNumberFormat="1" applyFont="1" applyFill="1" applyBorder="1" applyAlignment="1">
      <alignment horizontal="center"/>
    </xf>
    <xf numFmtId="204" fontId="2" fillId="0" borderId="37" xfId="0" applyNumberFormat="1" applyFont="1" applyBorder="1" applyAlignment="1">
      <alignment horizontal="center"/>
    </xf>
    <xf numFmtId="204" fontId="2" fillId="0" borderId="38" xfId="0" applyNumberFormat="1" applyFont="1" applyBorder="1" applyAlignment="1">
      <alignment horizontal="center"/>
    </xf>
    <xf numFmtId="2" fontId="8" fillId="0" borderId="45" xfId="0" applyNumberFormat="1" applyFont="1" applyBorder="1"/>
    <xf numFmtId="204" fontId="8" fillId="2" borderId="32" xfId="0" applyNumberFormat="1" applyFont="1" applyFill="1" applyBorder="1"/>
    <xf numFmtId="204" fontId="2" fillId="0" borderId="9" xfId="0" applyNumberFormat="1" applyFont="1" applyBorder="1" applyAlignment="1">
      <alignment horizontal="center"/>
    </xf>
    <xf numFmtId="204" fontId="6" fillId="0" borderId="44" xfId="0" applyNumberFormat="1" applyFont="1" applyBorder="1" applyAlignment="1">
      <alignment horizontal="center"/>
    </xf>
    <xf numFmtId="204" fontId="2" fillId="0" borderId="19" xfId="0" applyNumberFormat="1" applyFont="1" applyBorder="1" applyAlignment="1">
      <alignment horizontal="center"/>
    </xf>
    <xf numFmtId="204" fontId="2" fillId="0" borderId="71" xfId="0" applyNumberFormat="1" applyFont="1" applyBorder="1" applyAlignment="1">
      <alignment horizontal="center"/>
    </xf>
    <xf numFmtId="204" fontId="2" fillId="0" borderId="57" xfId="0" applyNumberFormat="1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5" fillId="0" borderId="55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211" fontId="0" fillId="0" borderId="0" xfId="0" applyNumberFormat="1"/>
    <xf numFmtId="204" fontId="6" fillId="0" borderId="31" xfId="0" applyNumberFormat="1" applyFont="1" applyBorder="1" applyAlignment="1">
      <alignment horizontal="center"/>
    </xf>
    <xf numFmtId="2" fontId="2" fillId="0" borderId="33" xfId="0" applyNumberFormat="1" applyFont="1" applyBorder="1" applyAlignment="1">
      <alignment horizontal="center"/>
    </xf>
    <xf numFmtId="204" fontId="16" fillId="0" borderId="31" xfId="0" applyNumberFormat="1" applyFont="1" applyBorder="1" applyAlignment="1">
      <alignment horizontal="center"/>
    </xf>
    <xf numFmtId="204" fontId="7" fillId="4" borderId="12" xfId="0" applyNumberFormat="1" applyFont="1" applyFill="1" applyBorder="1" applyAlignment="1">
      <alignment horizontal="center"/>
    </xf>
    <xf numFmtId="204" fontId="6" fillId="2" borderId="15" xfId="0" applyNumberFormat="1" applyFont="1" applyFill="1" applyBorder="1" applyAlignment="1">
      <alignment horizontal="center"/>
    </xf>
    <xf numFmtId="204" fontId="17" fillId="0" borderId="7" xfId="0" applyNumberFormat="1" applyFont="1" applyBorder="1" applyAlignment="1">
      <alignment horizontal="right"/>
    </xf>
    <xf numFmtId="2" fontId="7" fillId="2" borderId="12" xfId="0" applyNumberFormat="1" applyFont="1" applyFill="1" applyBorder="1" applyAlignment="1">
      <alignment horizontal="center"/>
    </xf>
    <xf numFmtId="2" fontId="7" fillId="2" borderId="25" xfId="0" applyNumberFormat="1" applyFont="1" applyFill="1" applyBorder="1" applyAlignment="1">
      <alignment horizontal="center"/>
    </xf>
    <xf numFmtId="2" fontId="7" fillId="2" borderId="15" xfId="0" applyNumberFormat="1" applyFont="1" applyFill="1" applyBorder="1" applyAlignment="1">
      <alignment horizontal="center"/>
    </xf>
    <xf numFmtId="0" fontId="6" fillId="0" borderId="55" xfId="0" applyFont="1" applyBorder="1" applyAlignment="1">
      <alignment horizontal="center"/>
    </xf>
    <xf numFmtId="0" fontId="5" fillId="0" borderId="57" xfId="0" applyFont="1" applyBorder="1" applyAlignment="1">
      <alignment horizontal="center"/>
    </xf>
    <xf numFmtId="204" fontId="2" fillId="0" borderId="37" xfId="0" applyNumberFormat="1" applyFont="1" applyBorder="1"/>
    <xf numFmtId="204" fontId="2" fillId="0" borderId="38" xfId="0" applyNumberFormat="1" applyFont="1" applyBorder="1"/>
    <xf numFmtId="1" fontId="2" fillId="0" borderId="53" xfId="0" applyNumberFormat="1" applyFont="1" applyBorder="1"/>
    <xf numFmtId="1" fontId="2" fillId="0" borderId="54" xfId="0" applyNumberFormat="1" applyFont="1" applyBorder="1"/>
    <xf numFmtId="1" fontId="2" fillId="0" borderId="22" xfId="0" applyNumberFormat="1" applyFont="1" applyBorder="1"/>
    <xf numFmtId="204" fontId="8" fillId="2" borderId="44" xfId="0" applyNumberFormat="1" applyFont="1" applyFill="1" applyBorder="1" applyAlignment="1">
      <alignment horizontal="center"/>
    </xf>
    <xf numFmtId="204" fontId="6" fillId="0" borderId="32" xfId="0" applyNumberFormat="1" applyFont="1" applyBorder="1" applyAlignment="1">
      <alignment horizontal="center"/>
    </xf>
    <xf numFmtId="204" fontId="8" fillId="2" borderId="32" xfId="0" applyNumberFormat="1" applyFont="1" applyFill="1" applyBorder="1" applyAlignment="1">
      <alignment horizontal="center"/>
    </xf>
    <xf numFmtId="204" fontId="5" fillId="2" borderId="23" xfId="0" applyNumberFormat="1" applyFont="1" applyFill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17" fontId="7" fillId="0" borderId="3" xfId="0" applyNumberFormat="1" applyFont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left"/>
    </xf>
    <xf numFmtId="2" fontId="6" fillId="2" borderId="15" xfId="0" applyNumberFormat="1" applyFont="1" applyFill="1" applyBorder="1" applyAlignment="1">
      <alignment horizontal="center"/>
    </xf>
    <xf numFmtId="204" fontId="6" fillId="2" borderId="46" xfId="0" applyNumberFormat="1" applyFont="1" applyFill="1" applyBorder="1" applyAlignment="1">
      <alignment horizontal="center"/>
    </xf>
    <xf numFmtId="204" fontId="6" fillId="2" borderId="33" xfId="0" applyNumberFormat="1" applyFont="1" applyFill="1" applyBorder="1" applyAlignment="1">
      <alignment horizontal="center"/>
    </xf>
    <xf numFmtId="204" fontId="6" fillId="2" borderId="34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6" fillId="0" borderId="13" xfId="0" applyFont="1" applyBorder="1"/>
    <xf numFmtId="0" fontId="16" fillId="0" borderId="4" xfId="0" applyFont="1" applyBorder="1" applyAlignment="1">
      <alignment horizontal="center"/>
    </xf>
    <xf numFmtId="204" fontId="16" fillId="2" borderId="71" xfId="0" applyNumberFormat="1" applyFont="1" applyFill="1" applyBorder="1" applyAlignment="1">
      <alignment horizontal="center"/>
    </xf>
    <xf numFmtId="204" fontId="6" fillId="2" borderId="55" xfId="0" applyNumberFormat="1" applyFont="1" applyFill="1" applyBorder="1" applyAlignment="1">
      <alignment horizontal="center"/>
    </xf>
    <xf numFmtId="204" fontId="6" fillId="2" borderId="57" xfId="0" applyNumberFormat="1" applyFont="1" applyFill="1" applyBorder="1" applyAlignment="1">
      <alignment horizontal="center"/>
    </xf>
    <xf numFmtId="204" fontId="2" fillId="2" borderId="2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204" fontId="16" fillId="0" borderId="4" xfId="0" applyNumberFormat="1" applyFont="1" applyBorder="1" applyAlignment="1">
      <alignment horizontal="center"/>
    </xf>
    <xf numFmtId="204" fontId="2" fillId="2" borderId="17" xfId="0" applyNumberFormat="1" applyFont="1" applyFill="1" applyBorder="1" applyAlignment="1">
      <alignment horizontal="center"/>
    </xf>
    <xf numFmtId="204" fontId="2" fillId="0" borderId="2" xfId="0" applyNumberFormat="1" applyFont="1" applyBorder="1" applyAlignment="1">
      <alignment horizontal="center"/>
    </xf>
    <xf numFmtId="204" fontId="8" fillId="0" borderId="59" xfId="0" applyNumberFormat="1" applyFont="1" applyBorder="1" applyAlignment="1">
      <alignment horizontal="center"/>
    </xf>
    <xf numFmtId="204" fontId="15" fillId="0" borderId="9" xfId="0" applyNumberFormat="1" applyFont="1" applyBorder="1" applyAlignment="1">
      <alignment horizontal="center"/>
    </xf>
    <xf numFmtId="204" fontId="2" fillId="0" borderId="6" xfId="0" applyNumberFormat="1" applyFont="1" applyBorder="1" applyAlignment="1">
      <alignment horizontal="center"/>
    </xf>
    <xf numFmtId="204" fontId="8" fillId="0" borderId="8" xfId="0" applyNumberFormat="1" applyFont="1" applyBorder="1" applyAlignment="1">
      <alignment horizontal="center"/>
    </xf>
    <xf numFmtId="204" fontId="8" fillId="0" borderId="11" xfId="0" applyNumberFormat="1" applyFont="1" applyBorder="1" applyAlignment="1">
      <alignment horizontal="center"/>
    </xf>
    <xf numFmtId="204" fontId="7" fillId="4" borderId="9" xfId="0" applyNumberFormat="1" applyFont="1" applyFill="1" applyBorder="1" applyAlignment="1">
      <alignment horizontal="center"/>
    </xf>
    <xf numFmtId="204" fontId="7" fillId="4" borderId="40" xfId="0" applyNumberFormat="1" applyFont="1" applyFill="1" applyBorder="1" applyAlignment="1">
      <alignment horizontal="center"/>
    </xf>
    <xf numFmtId="204" fontId="8" fillId="0" borderId="4" xfId="0" applyNumberFormat="1" applyFont="1" applyBorder="1" applyAlignment="1">
      <alignment horizontal="center"/>
    </xf>
    <xf numFmtId="204" fontId="6" fillId="2" borderId="17" xfId="0" applyNumberFormat="1" applyFont="1" applyFill="1" applyBorder="1" applyAlignment="1">
      <alignment horizontal="center"/>
    </xf>
    <xf numFmtId="204" fontId="6" fillId="0" borderId="58" xfId="0" applyNumberFormat="1" applyFont="1" applyBorder="1" applyAlignment="1">
      <alignment horizontal="center"/>
    </xf>
    <xf numFmtId="204" fontId="0" fillId="0" borderId="67" xfId="0" applyNumberFormat="1" applyBorder="1" applyAlignment="1">
      <alignment horizontal="center"/>
    </xf>
    <xf numFmtId="204" fontId="0" fillId="0" borderId="21" xfId="0" applyNumberFormat="1" applyBorder="1" applyAlignment="1">
      <alignment horizontal="center"/>
    </xf>
    <xf numFmtId="204" fontId="8" fillId="2" borderId="4" xfId="0" applyNumberFormat="1" applyFont="1" applyFill="1" applyBorder="1" applyAlignment="1">
      <alignment horizontal="center"/>
    </xf>
    <xf numFmtId="204" fontId="9" fillId="2" borderId="8" xfId="0" applyNumberFormat="1" applyFont="1" applyFill="1" applyBorder="1" applyAlignment="1">
      <alignment horizontal="right"/>
    </xf>
    <xf numFmtId="204" fontId="2" fillId="2" borderId="6" xfId="0" applyNumberFormat="1" applyFont="1" applyFill="1" applyBorder="1" applyAlignment="1">
      <alignment horizontal="center"/>
    </xf>
    <xf numFmtId="204" fontId="17" fillId="0" borderId="8" xfId="0" applyNumberFormat="1" applyFont="1" applyBorder="1" applyAlignment="1">
      <alignment horizontal="right"/>
    </xf>
    <xf numFmtId="204" fontId="16" fillId="2" borderId="17" xfId="0" applyNumberFormat="1" applyFont="1" applyFill="1" applyBorder="1" applyAlignment="1">
      <alignment horizontal="center"/>
    </xf>
    <xf numFmtId="204" fontId="6" fillId="2" borderId="20" xfId="0" applyNumberFormat="1" applyFont="1" applyFill="1" applyBorder="1" applyAlignment="1">
      <alignment horizontal="center"/>
    </xf>
    <xf numFmtId="2" fontId="12" fillId="2" borderId="2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/>
    </xf>
    <xf numFmtId="2" fontId="5" fillId="2" borderId="11" xfId="0" applyNumberFormat="1" applyFont="1" applyFill="1" applyBorder="1" applyAlignment="1">
      <alignment horizontal="center"/>
    </xf>
    <xf numFmtId="204" fontId="2" fillId="2" borderId="4" xfId="0" applyNumberFormat="1" applyFont="1" applyFill="1" applyBorder="1" applyAlignment="1">
      <alignment horizontal="center"/>
    </xf>
    <xf numFmtId="2" fontId="15" fillId="0" borderId="11" xfId="0" applyNumberFormat="1" applyFont="1" applyBorder="1" applyAlignment="1">
      <alignment horizontal="center"/>
    </xf>
    <xf numFmtId="204" fontId="0" fillId="2" borderId="45" xfId="0" applyNumberFormat="1" applyFill="1" applyBorder="1" applyAlignment="1">
      <alignment horizontal="center"/>
    </xf>
    <xf numFmtId="204" fontId="2" fillId="2" borderId="56" xfId="0" applyNumberFormat="1" applyFont="1" applyFill="1" applyBorder="1" applyAlignment="1">
      <alignment horizontal="center"/>
    </xf>
    <xf numFmtId="204" fontId="5" fillId="2" borderId="45" xfId="0" applyNumberFormat="1" applyFont="1" applyFill="1" applyBorder="1" applyAlignment="1">
      <alignment horizontal="center"/>
    </xf>
    <xf numFmtId="204" fontId="2" fillId="0" borderId="72" xfId="0" applyNumberFormat="1" applyFont="1" applyBorder="1" applyAlignment="1">
      <alignment horizontal="center"/>
    </xf>
    <xf numFmtId="204" fontId="0" fillId="0" borderId="45" xfId="0" applyNumberFormat="1" applyBorder="1"/>
    <xf numFmtId="204" fontId="2" fillId="0" borderId="0" xfId="0" applyNumberFormat="1" applyFont="1" applyBorder="1"/>
    <xf numFmtId="1" fontId="2" fillId="0" borderId="7" xfId="0" applyNumberFormat="1" applyFont="1" applyBorder="1"/>
    <xf numFmtId="1" fontId="2" fillId="0" borderId="15" xfId="0" applyNumberFormat="1" applyFont="1" applyBorder="1"/>
    <xf numFmtId="204" fontId="0" fillId="2" borderId="8" xfId="0" applyNumberFormat="1" applyFill="1" applyBorder="1" applyAlignment="1">
      <alignment horizontal="center"/>
    </xf>
    <xf numFmtId="204" fontId="2" fillId="0" borderId="17" xfId="0" applyNumberFormat="1" applyFont="1" applyBorder="1" applyAlignment="1">
      <alignment horizontal="center"/>
    </xf>
    <xf numFmtId="204" fontId="0" fillId="0" borderId="8" xfId="0" applyNumberFormat="1" applyBorder="1"/>
    <xf numFmtId="204" fontId="2" fillId="0" borderId="17" xfId="0" applyNumberFormat="1" applyFont="1" applyBorder="1"/>
    <xf numFmtId="1" fontId="2" fillId="0" borderId="8" xfId="0" applyNumberFormat="1" applyFont="1" applyBorder="1"/>
    <xf numFmtId="1" fontId="2" fillId="0" borderId="2" xfId="0" applyNumberFormat="1" applyFont="1" applyBorder="1"/>
    <xf numFmtId="204" fontId="16" fillId="2" borderId="25" xfId="0" applyNumberFormat="1" applyFont="1" applyFill="1" applyBorder="1" applyAlignment="1">
      <alignment horizontal="center"/>
    </xf>
    <xf numFmtId="204" fontId="0" fillId="0" borderId="67" xfId="0" applyNumberFormat="1" applyBorder="1"/>
    <xf numFmtId="204" fontId="0" fillId="0" borderId="21" xfId="0" applyNumberFormat="1" applyBorder="1" applyAlignment="1">
      <alignment horizontal="center" vertical="center"/>
    </xf>
    <xf numFmtId="204" fontId="6" fillId="2" borderId="10" xfId="0" applyNumberFormat="1" applyFont="1" applyFill="1" applyBorder="1" applyAlignment="1">
      <alignment horizontal="center"/>
    </xf>
    <xf numFmtId="204" fontId="6" fillId="0" borderId="47" xfId="0" applyNumberFormat="1" applyFont="1" applyBorder="1" applyAlignment="1">
      <alignment horizontal="center"/>
    </xf>
    <xf numFmtId="204" fontId="6" fillId="0" borderId="45" xfId="0" applyNumberFormat="1" applyFont="1" applyBorder="1" applyAlignment="1">
      <alignment horizontal="center"/>
    </xf>
    <xf numFmtId="204" fontId="8" fillId="0" borderId="2" xfId="0" applyNumberFormat="1" applyFont="1" applyBorder="1" applyAlignment="1">
      <alignment horizontal="center"/>
    </xf>
    <xf numFmtId="204" fontId="2" fillId="2" borderId="3" xfId="0" applyNumberFormat="1" applyFont="1" applyFill="1" applyBorder="1" applyAlignment="1">
      <alignment horizontal="center"/>
    </xf>
    <xf numFmtId="204" fontId="2" fillId="2" borderId="32" xfId="0" applyNumberFormat="1" applyFont="1" applyFill="1" applyBorder="1" applyAlignment="1">
      <alignment horizontal="center"/>
    </xf>
    <xf numFmtId="204" fontId="15" fillId="0" borderId="5" xfId="0" applyNumberFormat="1" applyFont="1" applyBorder="1" applyAlignment="1">
      <alignment horizontal="center"/>
    </xf>
    <xf numFmtId="204" fontId="15" fillId="0" borderId="16" xfId="0" applyNumberFormat="1" applyFont="1" applyBorder="1" applyAlignment="1">
      <alignment horizontal="center"/>
    </xf>
    <xf numFmtId="204" fontId="8" fillId="0" borderId="12" xfId="0" applyNumberFormat="1" applyFont="1" applyBorder="1" applyAlignment="1">
      <alignment horizontal="center"/>
    </xf>
    <xf numFmtId="204" fontId="8" fillId="0" borderId="15" xfId="0" applyNumberFormat="1" applyFont="1" applyBorder="1" applyAlignment="1">
      <alignment horizontal="center"/>
    </xf>
    <xf numFmtId="204" fontId="8" fillId="0" borderId="0" xfId="0" applyNumberFormat="1" applyFont="1" applyBorder="1" applyAlignment="1">
      <alignment horizontal="center"/>
    </xf>
    <xf numFmtId="204" fontId="8" fillId="0" borderId="25" xfId="0" applyNumberFormat="1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2" fillId="0" borderId="24" xfId="0" applyFont="1" applyBorder="1" applyAlignment="1"/>
    <xf numFmtId="0" fontId="2" fillId="0" borderId="26" xfId="0" applyFont="1" applyBorder="1" applyAlignment="1"/>
    <xf numFmtId="0" fontId="2" fillId="0" borderId="68" xfId="0" applyFont="1" applyBorder="1" applyAlignment="1"/>
    <xf numFmtId="0" fontId="2" fillId="0" borderId="63" xfId="0" applyFont="1" applyBorder="1" applyAlignment="1">
      <alignment wrapText="1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204" fontId="6" fillId="0" borderId="5" xfId="0" applyNumberFormat="1" applyFont="1" applyBorder="1" applyAlignment="1">
      <alignment horizontal="center"/>
    </xf>
    <xf numFmtId="204" fontId="2" fillId="0" borderId="10" xfId="0" applyNumberFormat="1" applyFont="1" applyBorder="1" applyAlignment="1">
      <alignment horizontal="center"/>
    </xf>
    <xf numFmtId="204" fontId="6" fillId="2" borderId="3" xfId="0" applyNumberFormat="1" applyFont="1" applyFill="1" applyBorder="1" applyAlignment="1">
      <alignment horizontal="center"/>
    </xf>
    <xf numFmtId="204" fontId="6" fillId="2" borderId="9" xfId="0" applyNumberFormat="1" applyFont="1" applyFill="1" applyBorder="1" applyAlignment="1">
      <alignment horizontal="center"/>
    </xf>
    <xf numFmtId="204" fontId="5" fillId="2" borderId="9" xfId="0" applyNumberFormat="1" applyFont="1" applyFill="1" applyBorder="1" applyAlignment="1">
      <alignment horizontal="center"/>
    </xf>
    <xf numFmtId="204" fontId="5" fillId="2" borderId="10" xfId="0" applyNumberFormat="1" applyFont="1" applyFill="1" applyBorder="1" applyAlignment="1">
      <alignment horizontal="center"/>
    </xf>
    <xf numFmtId="204" fontId="16" fillId="0" borderId="9" xfId="0" applyNumberFormat="1" applyFont="1" applyBorder="1" applyAlignment="1">
      <alignment horizontal="center"/>
    </xf>
    <xf numFmtId="204" fontId="16" fillId="2" borderId="9" xfId="0" applyNumberFormat="1" applyFont="1" applyFill="1" applyBorder="1" applyAlignment="1">
      <alignment horizontal="center"/>
    </xf>
    <xf numFmtId="204" fontId="2" fillId="0" borderId="16" xfId="0" applyNumberFormat="1" applyFont="1" applyBorder="1" applyAlignment="1">
      <alignment horizontal="center"/>
    </xf>
    <xf numFmtId="204" fontId="2" fillId="0" borderId="63" xfId="0" applyNumberFormat="1" applyFont="1" applyBorder="1" applyAlignment="1">
      <alignment horizontal="center"/>
    </xf>
    <xf numFmtId="204" fontId="2" fillId="0" borderId="5" xfId="0" applyNumberFormat="1" applyFont="1" applyBorder="1" applyAlignment="1">
      <alignment horizontal="center"/>
    </xf>
    <xf numFmtId="204" fontId="16" fillId="0" borderId="69" xfId="0" applyNumberFormat="1" applyFont="1" applyBorder="1" applyAlignment="1">
      <alignment horizontal="center"/>
    </xf>
    <xf numFmtId="204" fontId="8" fillId="0" borderId="10" xfId="0" applyNumberFormat="1" applyFont="1" applyBorder="1" applyAlignment="1">
      <alignment horizontal="center"/>
    </xf>
    <xf numFmtId="204" fontId="7" fillId="4" borderId="42" xfId="0" applyNumberFormat="1" applyFont="1" applyFill="1" applyBorder="1" applyAlignment="1">
      <alignment horizontal="center"/>
    </xf>
    <xf numFmtId="204" fontId="16" fillId="0" borderId="41" xfId="0" applyNumberFormat="1" applyFont="1" applyBorder="1" applyAlignment="1">
      <alignment horizontal="center"/>
    </xf>
    <xf numFmtId="204" fontId="2" fillId="2" borderId="40" xfId="0" applyNumberFormat="1" applyFont="1" applyFill="1" applyBorder="1" applyAlignment="1">
      <alignment horizontal="center"/>
    </xf>
    <xf numFmtId="204" fontId="2" fillId="2" borderId="73" xfId="0" applyNumberFormat="1" applyFont="1" applyFill="1" applyBorder="1" applyAlignment="1">
      <alignment horizontal="center"/>
    </xf>
    <xf numFmtId="204" fontId="6" fillId="2" borderId="18" xfId="0" applyNumberFormat="1" applyFont="1" applyFill="1" applyBorder="1" applyAlignment="1">
      <alignment horizontal="center"/>
    </xf>
    <xf numFmtId="204" fontId="5" fillId="0" borderId="69" xfId="0" applyNumberFormat="1" applyFont="1" applyBorder="1" applyAlignment="1">
      <alignment horizontal="center"/>
    </xf>
    <xf numFmtId="204" fontId="6" fillId="0" borderId="43" xfId="0" applyNumberFormat="1" applyFont="1" applyBorder="1" applyAlignment="1">
      <alignment horizontal="center"/>
    </xf>
    <xf numFmtId="204" fontId="7" fillId="4" borderId="73" xfId="0" applyNumberFormat="1" applyFont="1" applyFill="1" applyBorder="1" applyAlignment="1">
      <alignment horizontal="center"/>
    </xf>
    <xf numFmtId="204" fontId="6" fillId="0" borderId="41" xfId="0" applyNumberFormat="1" applyFont="1" applyBorder="1" applyAlignment="1">
      <alignment horizontal="center"/>
    </xf>
    <xf numFmtId="204" fontId="6" fillId="2" borderId="43" xfId="0" applyNumberFormat="1" applyFont="1" applyFill="1" applyBorder="1" applyAlignment="1">
      <alignment horizontal="center"/>
    </xf>
    <xf numFmtId="204" fontId="5" fillId="0" borderId="43" xfId="0" applyNumberFormat="1" applyFont="1" applyBorder="1" applyAlignment="1">
      <alignment horizontal="center"/>
    </xf>
    <xf numFmtId="204" fontId="7" fillId="4" borderId="43" xfId="0" applyNumberFormat="1" applyFont="1" applyFill="1" applyBorder="1" applyAlignment="1">
      <alignment horizontal="center"/>
    </xf>
    <xf numFmtId="204" fontId="6" fillId="0" borderId="68" xfId="0" applyNumberFormat="1" applyFont="1" applyBorder="1" applyAlignment="1">
      <alignment horizontal="center"/>
    </xf>
    <xf numFmtId="204" fontId="9" fillId="0" borderId="69" xfId="0" applyNumberFormat="1" applyFont="1" applyBorder="1" applyAlignment="1">
      <alignment horizontal="center"/>
    </xf>
    <xf numFmtId="204" fontId="11" fillId="0" borderId="69" xfId="0" applyNumberFormat="1" applyFont="1" applyBorder="1" applyAlignment="1">
      <alignment horizontal="center"/>
    </xf>
    <xf numFmtId="204" fontId="6" fillId="0" borderId="42" xfId="0" applyNumberFormat="1" applyFont="1" applyBorder="1" applyAlignment="1">
      <alignment horizontal="center"/>
    </xf>
    <xf numFmtId="204" fontId="8" fillId="2" borderId="41" xfId="0" applyNumberFormat="1" applyFont="1" applyFill="1" applyBorder="1" applyAlignment="1">
      <alignment horizontal="center"/>
    </xf>
    <xf numFmtId="204" fontId="5" fillId="2" borderId="40" xfId="0" applyNumberFormat="1" applyFont="1" applyFill="1" applyBorder="1" applyAlignment="1">
      <alignment horizontal="center"/>
    </xf>
    <xf numFmtId="204" fontId="9" fillId="2" borderId="40" xfId="0" applyNumberFormat="1" applyFont="1" applyFill="1" applyBorder="1" applyAlignment="1">
      <alignment horizontal="right"/>
    </xf>
    <xf numFmtId="204" fontId="2" fillId="2" borderId="69" xfId="0" applyNumberFormat="1" applyFont="1" applyFill="1" applyBorder="1" applyAlignment="1">
      <alignment horizontal="center"/>
    </xf>
    <xf numFmtId="204" fontId="17" fillId="0" borderId="43" xfId="0" applyNumberFormat="1" applyFont="1" applyBorder="1" applyAlignment="1">
      <alignment horizontal="right"/>
    </xf>
    <xf numFmtId="204" fontId="17" fillId="0" borderId="40" xfId="0" applyNumberFormat="1" applyFont="1" applyBorder="1" applyAlignment="1">
      <alignment horizontal="right"/>
    </xf>
    <xf numFmtId="204" fontId="17" fillId="0" borderId="18" xfId="0" applyNumberFormat="1" applyFont="1" applyBorder="1" applyAlignment="1">
      <alignment horizontal="right"/>
    </xf>
    <xf numFmtId="204" fontId="16" fillId="2" borderId="43" xfId="0" applyNumberFormat="1" applyFont="1" applyFill="1" applyBorder="1" applyAlignment="1">
      <alignment horizontal="center"/>
    </xf>
    <xf numFmtId="204" fontId="6" fillId="2" borderId="40" xfId="0" applyNumberFormat="1" applyFont="1" applyFill="1" applyBorder="1" applyAlignment="1">
      <alignment horizontal="center"/>
    </xf>
    <xf numFmtId="204" fontId="6" fillId="2" borderId="73" xfId="0" applyNumberFormat="1" applyFont="1" applyFill="1" applyBorder="1" applyAlignment="1">
      <alignment horizontal="center"/>
    </xf>
    <xf numFmtId="2" fontId="12" fillId="2" borderId="68" xfId="0" applyNumberFormat="1" applyFont="1" applyFill="1" applyBorder="1" applyAlignment="1">
      <alignment horizontal="center" vertical="center"/>
    </xf>
    <xf numFmtId="2" fontId="8" fillId="2" borderId="69" xfId="0" applyNumberFormat="1" applyFont="1" applyFill="1" applyBorder="1" applyAlignment="1">
      <alignment horizontal="center"/>
    </xf>
    <xf numFmtId="2" fontId="5" fillId="2" borderId="42" xfId="0" applyNumberFormat="1" applyFont="1" applyFill="1" applyBorder="1" applyAlignment="1">
      <alignment horizontal="center"/>
    </xf>
    <xf numFmtId="204" fontId="5" fillId="2" borderId="42" xfId="0" applyNumberFormat="1" applyFont="1" applyFill="1" applyBorder="1" applyAlignment="1">
      <alignment horizontal="center"/>
    </xf>
    <xf numFmtId="204" fontId="6" fillId="2" borderId="41" xfId="0" applyNumberFormat="1" applyFont="1" applyFill="1" applyBorder="1" applyAlignment="1">
      <alignment horizontal="center"/>
    </xf>
    <xf numFmtId="204" fontId="2" fillId="2" borderId="41" xfId="0" applyNumberFormat="1" applyFont="1" applyFill="1" applyBorder="1" applyAlignment="1">
      <alignment horizontal="center"/>
    </xf>
    <xf numFmtId="2" fontId="15" fillId="0" borderId="73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204" fontId="2" fillId="2" borderId="10" xfId="0" applyNumberFormat="1" applyFont="1" applyFill="1" applyBorder="1" applyAlignment="1">
      <alignment horizontal="center"/>
    </xf>
    <xf numFmtId="204" fontId="5" fillId="0" borderId="63" xfId="0" applyNumberFormat="1" applyFont="1" applyBorder="1" applyAlignment="1">
      <alignment horizontal="center"/>
    </xf>
    <xf numFmtId="204" fontId="8" fillId="0" borderId="60" xfId="0" applyNumberFormat="1" applyFont="1" applyBorder="1" applyAlignment="1">
      <alignment horizontal="center"/>
    </xf>
    <xf numFmtId="204" fontId="15" fillId="0" borderId="14" xfId="0" applyNumberFormat="1" applyFont="1" applyBorder="1" applyAlignment="1">
      <alignment horizontal="center"/>
    </xf>
    <xf numFmtId="204" fontId="15" fillId="0" borderId="0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204" fontId="5" fillId="2" borderId="7" xfId="0" applyNumberFormat="1" applyFont="1" applyFill="1" applyBorder="1" applyAlignment="1">
      <alignment horizontal="center"/>
    </xf>
    <xf numFmtId="204" fontId="5" fillId="2" borderId="12" xfId="0" applyNumberFormat="1" applyFont="1" applyFill="1" applyBorder="1" applyAlignment="1">
      <alignment horizontal="center"/>
    </xf>
    <xf numFmtId="0" fontId="8" fillId="0" borderId="26" xfId="0" applyFont="1" applyBorder="1" applyAlignment="1">
      <alignment horizontal="center" vertical="center"/>
    </xf>
    <xf numFmtId="204" fontId="2" fillId="0" borderId="20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21" xfId="0" applyFont="1" applyBorder="1" applyAlignment="1">
      <alignment horizontal="center" vertical="center"/>
    </xf>
    <xf numFmtId="204" fontId="16" fillId="0" borderId="42" xfId="0" applyNumberFormat="1" applyFont="1" applyBorder="1" applyAlignment="1">
      <alignment horizontal="center"/>
    </xf>
    <xf numFmtId="204" fontId="2" fillId="0" borderId="42" xfId="0" applyNumberFormat="1" applyFont="1" applyBorder="1" applyAlignment="1">
      <alignment horizontal="center"/>
    </xf>
    <xf numFmtId="204" fontId="8" fillId="0" borderId="17" xfId="0" applyNumberFormat="1" applyFont="1" applyBorder="1" applyAlignment="1">
      <alignment horizontal="center"/>
    </xf>
    <xf numFmtId="204" fontId="8" fillId="0" borderId="6" xfId="0" applyNumberFormat="1" applyFont="1" applyBorder="1" applyAlignment="1">
      <alignment horizontal="center"/>
    </xf>
    <xf numFmtId="204" fontId="8" fillId="0" borderId="20" xfId="0" applyNumberFormat="1" applyFont="1" applyBorder="1" applyAlignment="1">
      <alignment horizontal="center"/>
    </xf>
    <xf numFmtId="204" fontId="8" fillId="0" borderId="21" xfId="0" applyNumberFormat="1" applyFont="1" applyBorder="1" applyAlignment="1">
      <alignment horizontal="center"/>
    </xf>
    <xf numFmtId="204" fontId="5" fillId="2" borderId="68" xfId="0" applyNumberFormat="1" applyFont="1" applyFill="1" applyBorder="1" applyAlignment="1">
      <alignment horizontal="left"/>
    </xf>
    <xf numFmtId="204" fontId="2" fillId="0" borderId="8" xfId="0" applyNumberFormat="1" applyFont="1" applyBorder="1" applyAlignment="1">
      <alignment horizontal="left"/>
    </xf>
    <xf numFmtId="204" fontId="15" fillId="0" borderId="69" xfId="0" applyNumberFormat="1" applyFont="1" applyBorder="1" applyAlignment="1">
      <alignment horizontal="left"/>
    </xf>
    <xf numFmtId="204" fontId="5" fillId="0" borderId="41" xfId="0" applyNumberFormat="1" applyFont="1" applyBorder="1" applyAlignment="1">
      <alignment horizontal="center"/>
    </xf>
    <xf numFmtId="1" fontId="6" fillId="0" borderId="9" xfId="0" applyNumberFormat="1" applyFont="1" applyBorder="1" applyAlignment="1">
      <alignment horizontal="center"/>
    </xf>
    <xf numFmtId="1" fontId="5" fillId="0" borderId="10" xfId="0" applyNumberFormat="1" applyFont="1" applyBorder="1" applyAlignment="1">
      <alignment horizontal="center"/>
    </xf>
    <xf numFmtId="0" fontId="5" fillId="0" borderId="8" xfId="0" applyFont="1" applyBorder="1" applyAlignment="1">
      <alignment horizontal="left"/>
    </xf>
    <xf numFmtId="204" fontId="5" fillId="0" borderId="69" xfId="0" applyNumberFormat="1" applyFont="1" applyBorder="1" applyAlignment="1">
      <alignment horizontal="left"/>
    </xf>
    <xf numFmtId="0" fontId="19" fillId="0" borderId="0" xfId="0" applyFont="1"/>
    <xf numFmtId="0" fontId="3" fillId="0" borderId="21" xfId="0" applyFont="1" applyBorder="1" applyAlignment="1">
      <alignment horizontal="center" vertical="distributed" wrapText="1"/>
    </xf>
    <xf numFmtId="204" fontId="8" fillId="0" borderId="18" xfId="0" applyNumberFormat="1" applyFont="1" applyBorder="1" applyAlignment="1">
      <alignment horizontal="center"/>
    </xf>
    <xf numFmtId="204" fontId="8" fillId="0" borderId="73" xfId="0" applyNumberFormat="1" applyFont="1" applyBorder="1" applyAlignment="1">
      <alignment horizontal="center"/>
    </xf>
    <xf numFmtId="204" fontId="8" fillId="0" borderId="43" xfId="0" applyNumberFormat="1" applyFont="1" applyBorder="1" applyAlignment="1">
      <alignment horizontal="center"/>
    </xf>
    <xf numFmtId="204" fontId="2" fillId="0" borderId="69" xfId="0" applyNumberFormat="1" applyFont="1" applyBorder="1" applyAlignment="1">
      <alignment horizontal="center"/>
    </xf>
    <xf numFmtId="204" fontId="2" fillId="0" borderId="43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 vertical="distributed" wrapText="1"/>
    </xf>
    <xf numFmtId="1" fontId="5" fillId="0" borderId="11" xfId="0" applyNumberFormat="1" applyFont="1" applyBorder="1" applyAlignment="1">
      <alignment horizontal="center"/>
    </xf>
    <xf numFmtId="204" fontId="8" fillId="2" borderId="12" xfId="0" applyNumberFormat="1" applyFont="1" applyFill="1" applyBorder="1" applyAlignment="1">
      <alignment horizontal="center"/>
    </xf>
    <xf numFmtId="2" fontId="16" fillId="0" borderId="3" xfId="0" applyNumberFormat="1" applyFont="1" applyBorder="1" applyAlignment="1">
      <alignment horizontal="center"/>
    </xf>
    <xf numFmtId="2" fontId="16" fillId="0" borderId="5" xfId="0" applyNumberFormat="1" applyFont="1" applyBorder="1" applyAlignment="1">
      <alignment horizontal="center"/>
    </xf>
    <xf numFmtId="2" fontId="16" fillId="0" borderId="2" xfId="0" applyNumberFormat="1" applyFont="1" applyBorder="1" applyAlignment="1">
      <alignment horizontal="center"/>
    </xf>
    <xf numFmtId="204" fontId="2" fillId="0" borderId="40" xfId="0" applyNumberFormat="1" applyFont="1" applyBorder="1" applyAlignment="1">
      <alignment horizontal="left"/>
    </xf>
    <xf numFmtId="204" fontId="5" fillId="2" borderId="42" xfId="0" applyNumberFormat="1" applyFont="1" applyFill="1" applyBorder="1" applyAlignment="1">
      <alignment horizontal="left"/>
    </xf>
    <xf numFmtId="0" fontId="2" fillId="0" borderId="41" xfId="0" applyFont="1" applyBorder="1" applyAlignment="1">
      <alignment horizontal="center"/>
    </xf>
    <xf numFmtId="0" fontId="2" fillId="0" borderId="6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204" fontId="6" fillId="2" borderId="41" xfId="0" applyNumberFormat="1" applyFont="1" applyFill="1" applyBorder="1" applyAlignment="1">
      <alignment horizontal="center"/>
    </xf>
    <xf numFmtId="204" fontId="6" fillId="2" borderId="40" xfId="0" applyNumberFormat="1" applyFont="1" applyFill="1" applyBorder="1" applyAlignment="1">
      <alignment horizontal="center"/>
    </xf>
    <xf numFmtId="204" fontId="6" fillId="2" borderId="42" xfId="0" applyNumberFormat="1" applyFont="1" applyFill="1" applyBorder="1" applyAlignment="1">
      <alignment horizontal="center"/>
    </xf>
    <xf numFmtId="204" fontId="5" fillId="2" borderId="40" xfId="0" applyNumberFormat="1" applyFont="1" applyFill="1" applyBorder="1" applyAlignment="1">
      <alignment horizontal="center"/>
    </xf>
    <xf numFmtId="204" fontId="5" fillId="2" borderId="42" xfId="0" applyNumberFormat="1" applyFont="1" applyFill="1" applyBorder="1" applyAlignment="1">
      <alignment horizontal="center"/>
    </xf>
    <xf numFmtId="2" fontId="16" fillId="0" borderId="4" xfId="0" applyNumberFormat="1" applyFont="1" applyBorder="1" applyAlignment="1">
      <alignment horizontal="center"/>
    </xf>
    <xf numFmtId="204" fontId="8" fillId="2" borderId="14" xfId="0" applyNumberFormat="1" applyFont="1" applyFill="1" applyBorder="1" applyAlignment="1">
      <alignment horizontal="center"/>
    </xf>
    <xf numFmtId="204" fontId="8" fillId="2" borderId="69" xfId="0" applyNumberFormat="1" applyFont="1" applyFill="1" applyBorder="1" applyAlignment="1">
      <alignment horizontal="center"/>
    </xf>
    <xf numFmtId="0" fontId="4" fillId="0" borderId="21" xfId="0" applyFont="1" applyBorder="1"/>
    <xf numFmtId="204" fontId="16" fillId="0" borderId="21" xfId="0" applyNumberFormat="1" applyFont="1" applyBorder="1" applyAlignment="1">
      <alignment horizontal="center"/>
    </xf>
    <xf numFmtId="2" fontId="16" fillId="0" borderId="21" xfId="0" applyNumberFormat="1" applyFont="1" applyBorder="1" applyAlignment="1">
      <alignment horizontal="center"/>
    </xf>
    <xf numFmtId="204" fontId="2" fillId="0" borderId="68" xfId="0" applyNumberFormat="1" applyFont="1" applyBorder="1" applyAlignment="1">
      <alignment horizontal="left"/>
    </xf>
    <xf numFmtId="204" fontId="8" fillId="2" borderId="21" xfId="0" applyNumberFormat="1" applyFont="1" applyFill="1" applyBorder="1" applyAlignment="1">
      <alignment horizontal="center"/>
    </xf>
    <xf numFmtId="204" fontId="8" fillId="2" borderId="26" xfId="0" applyNumberFormat="1" applyFont="1" applyFill="1" applyBorder="1" applyAlignment="1">
      <alignment horizontal="center"/>
    </xf>
    <xf numFmtId="204" fontId="8" fillId="2" borderId="68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6" fillId="0" borderId="3" xfId="0" applyFont="1" applyBorder="1" applyAlignment="1">
      <alignment wrapText="1"/>
    </xf>
    <xf numFmtId="0" fontId="5" fillId="0" borderId="9" xfId="0" applyFont="1" applyBorder="1"/>
    <xf numFmtId="0" fontId="2" fillId="0" borderId="9" xfId="0" applyFont="1" applyBorder="1"/>
    <xf numFmtId="0" fontId="5" fillId="0" borderId="10" xfId="0" applyFont="1" applyBorder="1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/>
    <xf numFmtId="0" fontId="1" fillId="0" borderId="15" xfId="0" applyFont="1" applyBorder="1" applyAlignment="1">
      <alignment horizontal="center"/>
    </xf>
    <xf numFmtId="204" fontId="1" fillId="0" borderId="47" xfId="0" applyNumberFormat="1" applyFont="1" applyBorder="1" applyAlignment="1">
      <alignment horizontal="center"/>
    </xf>
    <xf numFmtId="204" fontId="1" fillId="0" borderId="22" xfId="0" applyNumberFormat="1" applyFont="1" applyBorder="1" applyAlignment="1">
      <alignment horizontal="center"/>
    </xf>
    <xf numFmtId="204" fontId="1" fillId="0" borderId="23" xfId="0" applyNumberFormat="1" applyFont="1" applyBorder="1" applyAlignment="1">
      <alignment horizontal="center"/>
    </xf>
    <xf numFmtId="0" fontId="1" fillId="0" borderId="49" xfId="0" applyFont="1" applyBorder="1"/>
    <xf numFmtId="0" fontId="1" fillId="0" borderId="31" xfId="0" applyFont="1" applyBorder="1"/>
    <xf numFmtId="0" fontId="1" fillId="0" borderId="32" xfId="0" applyFont="1" applyBorder="1"/>
    <xf numFmtId="204" fontId="1" fillId="2" borderId="7" xfId="0" applyNumberFormat="1" applyFont="1" applyFill="1" applyBorder="1" applyAlignment="1">
      <alignment horizontal="center"/>
    </xf>
    <xf numFmtId="204" fontId="1" fillId="0" borderId="7" xfId="0" applyNumberFormat="1" applyFont="1" applyBorder="1" applyAlignment="1">
      <alignment horizontal="center"/>
    </xf>
    <xf numFmtId="204" fontId="1" fillId="0" borderId="8" xfId="0" applyNumberFormat="1" applyFont="1" applyBorder="1" applyAlignment="1">
      <alignment horizontal="center"/>
    </xf>
    <xf numFmtId="204" fontId="1" fillId="0" borderId="40" xfId="0" applyNumberFormat="1" applyFont="1" applyBorder="1" applyAlignment="1">
      <alignment horizontal="center"/>
    </xf>
    <xf numFmtId="204" fontId="1" fillId="0" borderId="21" xfId="0" applyNumberFormat="1" applyFont="1" applyBorder="1" applyAlignment="1">
      <alignment horizontal="center"/>
    </xf>
    <xf numFmtId="204" fontId="1" fillId="0" borderId="26" xfId="0" applyNumberFormat="1" applyFont="1" applyBorder="1" applyAlignment="1">
      <alignment horizontal="center"/>
    </xf>
    <xf numFmtId="204" fontId="1" fillId="0" borderId="68" xfId="0" applyNumberFormat="1" applyFont="1" applyBorder="1" applyAlignment="1">
      <alignment horizontal="center"/>
    </xf>
    <xf numFmtId="204" fontId="1" fillId="0" borderId="25" xfId="0" applyNumberFormat="1" applyFont="1" applyBorder="1" applyAlignment="1">
      <alignment horizontal="center"/>
    </xf>
    <xf numFmtId="204" fontId="1" fillId="0" borderId="20" xfId="0" applyNumberFormat="1" applyFont="1" applyBorder="1" applyAlignment="1">
      <alignment horizontal="center"/>
    </xf>
    <xf numFmtId="204" fontId="1" fillId="0" borderId="73" xfId="0" applyNumberFormat="1" applyFont="1" applyBorder="1" applyAlignment="1">
      <alignment horizontal="center"/>
    </xf>
    <xf numFmtId="0" fontId="1" fillId="0" borderId="48" xfId="0" applyFont="1" applyBorder="1"/>
    <xf numFmtId="0" fontId="1" fillId="0" borderId="28" xfId="0" applyFont="1" applyBorder="1"/>
    <xf numFmtId="0" fontId="1" fillId="0" borderId="29" xfId="0" applyFont="1" applyBorder="1"/>
    <xf numFmtId="204" fontId="1" fillId="0" borderId="14" xfId="0" applyNumberFormat="1" applyFont="1" applyBorder="1" applyAlignment="1">
      <alignment horizontal="center"/>
    </xf>
    <xf numFmtId="204" fontId="1" fillId="0" borderId="6" xfId="0" applyNumberFormat="1" applyFont="1" applyBorder="1" applyAlignment="1">
      <alignment horizontal="center"/>
    </xf>
    <xf numFmtId="204" fontId="1" fillId="0" borderId="69" xfId="0" applyNumberFormat="1" applyFont="1" applyBorder="1" applyAlignment="1">
      <alignment horizontal="center"/>
    </xf>
    <xf numFmtId="204" fontId="1" fillId="0" borderId="0" xfId="0" applyNumberFormat="1" applyFont="1" applyBorder="1" applyAlignment="1">
      <alignment horizontal="center"/>
    </xf>
    <xf numFmtId="204" fontId="1" fillId="0" borderId="17" xfId="0" applyNumberFormat="1" applyFont="1" applyBorder="1" applyAlignment="1">
      <alignment horizontal="center"/>
    </xf>
    <xf numFmtId="204" fontId="1" fillId="0" borderId="43" xfId="0" applyNumberFormat="1" applyFont="1" applyBorder="1" applyAlignment="1">
      <alignment horizontal="center"/>
    </xf>
    <xf numFmtId="204" fontId="1" fillId="0" borderId="11" xfId="0" applyNumberFormat="1" applyFont="1" applyBorder="1" applyAlignment="1">
      <alignment horizontal="center"/>
    </xf>
    <xf numFmtId="204" fontId="1" fillId="0" borderId="15" xfId="0" applyNumberFormat="1" applyFont="1" applyBorder="1" applyAlignment="1">
      <alignment horizontal="center"/>
    </xf>
    <xf numFmtId="204" fontId="1" fillId="0" borderId="2" xfId="0" applyNumberFormat="1" applyFont="1" applyBorder="1" applyAlignment="1">
      <alignment horizontal="center"/>
    </xf>
    <xf numFmtId="204" fontId="1" fillId="0" borderId="18" xfId="0" applyNumberFormat="1" applyFont="1" applyBorder="1" applyAlignment="1">
      <alignment horizontal="center"/>
    </xf>
    <xf numFmtId="204" fontId="1" fillId="0" borderId="4" xfId="0" applyNumberFormat="1" applyFont="1" applyBorder="1" applyAlignment="1">
      <alignment horizontal="center"/>
    </xf>
    <xf numFmtId="204" fontId="1" fillId="0" borderId="12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6" fillId="0" borderId="6" xfId="0" applyNumberFormat="1" applyFont="1" applyBorder="1" applyAlignment="1">
      <alignment horizontal="center"/>
    </xf>
    <xf numFmtId="0" fontId="2" fillId="0" borderId="68" xfId="0" applyFont="1" applyBorder="1" applyAlignment="1">
      <alignment wrapText="1"/>
    </xf>
    <xf numFmtId="0" fontId="2" fillId="0" borderId="43" xfId="0" applyFont="1" applyBorder="1" applyAlignment="1">
      <alignment horizontal="center"/>
    </xf>
    <xf numFmtId="204" fontId="5" fillId="2" borderId="43" xfId="0" applyNumberFormat="1" applyFont="1" applyFill="1" applyBorder="1" applyAlignment="1">
      <alignment horizontal="center"/>
    </xf>
    <xf numFmtId="204" fontId="5" fillId="0" borderId="18" xfId="0" applyNumberFormat="1" applyFont="1" applyBorder="1" applyAlignment="1">
      <alignment horizontal="center"/>
    </xf>
    <xf numFmtId="204" fontId="5" fillId="2" borderId="18" xfId="0" applyNumberFormat="1" applyFont="1" applyFill="1" applyBorder="1" applyAlignment="1">
      <alignment horizontal="center"/>
    </xf>
    <xf numFmtId="204" fontId="5" fillId="0" borderId="74" xfId="0" applyNumberFormat="1" applyFont="1" applyBorder="1" applyAlignment="1">
      <alignment horizontal="center"/>
    </xf>
    <xf numFmtId="204" fontId="9" fillId="0" borderId="42" xfId="0" applyNumberFormat="1" applyFont="1" applyBorder="1" applyAlignment="1">
      <alignment horizontal="center"/>
    </xf>
    <xf numFmtId="204" fontId="5" fillId="0" borderId="68" xfId="0" applyNumberFormat="1" applyFont="1" applyBorder="1" applyAlignment="1">
      <alignment horizontal="center"/>
    </xf>
    <xf numFmtId="204" fontId="9" fillId="0" borderId="40" xfId="0" applyNumberFormat="1" applyFont="1" applyBorder="1" applyAlignment="1">
      <alignment horizontal="center"/>
    </xf>
    <xf numFmtId="204" fontId="5" fillId="0" borderId="73" xfId="0" applyNumberFormat="1" applyFont="1" applyBorder="1" applyAlignment="1">
      <alignment horizontal="center"/>
    </xf>
    <xf numFmtId="204" fontId="9" fillId="0" borderId="73" xfId="0" applyNumberFormat="1" applyFont="1" applyBorder="1" applyAlignment="1">
      <alignment horizontal="center"/>
    </xf>
    <xf numFmtId="204" fontId="5" fillId="0" borderId="26" xfId="0" applyNumberFormat="1" applyFont="1" applyBorder="1" applyAlignment="1">
      <alignment horizontal="center"/>
    </xf>
    <xf numFmtId="204" fontId="5" fillId="2" borderId="41" xfId="0" applyNumberFormat="1" applyFont="1" applyFill="1" applyBorder="1" applyAlignment="1">
      <alignment horizontal="center"/>
    </xf>
    <xf numFmtId="204" fontId="5" fillId="2" borderId="69" xfId="0" applyNumberFormat="1" applyFont="1" applyFill="1" applyBorder="1" applyAlignment="1">
      <alignment horizontal="center"/>
    </xf>
    <xf numFmtId="204" fontId="1" fillId="0" borderId="68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/>
    </xf>
    <xf numFmtId="1" fontId="6" fillId="2" borderId="13" xfId="0" applyNumberFormat="1" applyFont="1" applyFill="1" applyBorder="1" applyAlignment="1">
      <alignment horizontal="center"/>
    </xf>
    <xf numFmtId="1" fontId="6" fillId="2" borderId="4" xfId="0" applyNumberFormat="1" applyFont="1" applyFill="1" applyBorder="1" applyAlignment="1">
      <alignment horizontal="center"/>
    </xf>
    <xf numFmtId="1" fontId="6" fillId="2" borderId="41" xfId="0" applyNumberFormat="1" applyFont="1" applyFill="1" applyBorder="1" applyAlignment="1">
      <alignment horizontal="center"/>
    </xf>
    <xf numFmtId="204" fontId="9" fillId="2" borderId="8" xfId="0" applyNumberFormat="1" applyFont="1" applyFill="1" applyBorder="1" applyAlignment="1">
      <alignment horizontal="center"/>
    </xf>
    <xf numFmtId="2" fontId="6" fillId="2" borderId="4" xfId="0" applyNumberFormat="1" applyFont="1" applyFill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68" xfId="0" applyFont="1" applyBorder="1" applyAlignment="1">
      <alignment horizontal="center"/>
    </xf>
    <xf numFmtId="0" fontId="2" fillId="0" borderId="1" xfId="0" applyFont="1" applyBorder="1" applyAlignment="1">
      <alignment horizontal="center" vertical="distributed"/>
    </xf>
    <xf numFmtId="0" fontId="2" fillId="0" borderId="2" xfId="0" applyFont="1" applyBorder="1" applyAlignment="1">
      <alignment horizontal="center" vertical="distributed"/>
    </xf>
    <xf numFmtId="0" fontId="3" fillId="0" borderId="1" xfId="0" applyFont="1" applyBorder="1" applyAlignment="1">
      <alignment horizontal="center" vertical="distributed" wrapText="1"/>
    </xf>
    <xf numFmtId="0" fontId="3" fillId="0" borderId="2" xfId="0" applyFont="1" applyBorder="1" applyAlignment="1">
      <alignment horizontal="center" vertical="distributed" wrapText="1"/>
    </xf>
    <xf numFmtId="0" fontId="7" fillId="2" borderId="20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AA224"/>
  <sheetViews>
    <sheetView tabSelected="1" view="pageBreakPreview" topLeftCell="A7" zoomScaleNormal="100" workbookViewId="0">
      <selection activeCell="A134" sqref="A134:IV217"/>
    </sheetView>
  </sheetViews>
  <sheetFormatPr defaultRowHeight="12.75" x14ac:dyDescent="0.2"/>
  <cols>
    <col min="1" max="1" width="2.5703125" customWidth="1"/>
    <col min="2" max="2" width="6.85546875" customWidth="1"/>
    <col min="3" max="3" width="42.7109375" customWidth="1"/>
    <col min="4" max="4" width="10.140625" hidden="1" customWidth="1"/>
    <col min="5" max="5" width="6.42578125" hidden="1" customWidth="1"/>
    <col min="6" max="6" width="9.7109375" hidden="1" customWidth="1"/>
    <col min="7" max="7" width="7" hidden="1" customWidth="1"/>
    <col min="8" max="8" width="9.7109375" hidden="1" customWidth="1"/>
    <col min="9" max="9" width="7.5703125" hidden="1" customWidth="1"/>
    <col min="10" max="10" width="9.7109375" hidden="1" customWidth="1"/>
    <col min="11" max="11" width="8.7109375" customWidth="1"/>
    <col min="12" max="12" width="5.140625" customWidth="1"/>
    <col min="14" max="14" width="5.42578125" customWidth="1"/>
    <col min="15" max="15" width="6.28515625" customWidth="1"/>
    <col min="16" max="16" width="20.5703125" customWidth="1"/>
    <col min="17" max="17" width="7" hidden="1" customWidth="1"/>
    <col min="18" max="19" width="8.28515625" hidden="1" customWidth="1"/>
    <col min="20" max="20" width="8" hidden="1" customWidth="1"/>
    <col min="21" max="21" width="8.42578125" hidden="1" customWidth="1"/>
    <col min="22" max="22" width="11.5703125" hidden="1" customWidth="1"/>
    <col min="23" max="23" width="11" hidden="1" customWidth="1"/>
    <col min="24" max="24" width="11.5703125" hidden="1" customWidth="1"/>
    <col min="25" max="25" width="10.5703125" hidden="1" customWidth="1"/>
  </cols>
  <sheetData>
    <row r="1" spans="2:27" hidden="1" x14ac:dyDescent="0.2">
      <c r="B1" t="s">
        <v>205</v>
      </c>
      <c r="Q1" t="s">
        <v>205</v>
      </c>
    </row>
    <row r="2" spans="2:27" hidden="1" x14ac:dyDescent="0.2">
      <c r="B2" t="s">
        <v>206</v>
      </c>
      <c r="Q2" t="s">
        <v>209</v>
      </c>
    </row>
    <row r="3" spans="2:27" hidden="1" x14ac:dyDescent="0.2">
      <c r="Q3" t="s">
        <v>217</v>
      </c>
    </row>
    <row r="4" spans="2:27" hidden="1" x14ac:dyDescent="0.2"/>
    <row r="5" spans="2:27" hidden="1" x14ac:dyDescent="0.2">
      <c r="B5" t="s">
        <v>207</v>
      </c>
      <c r="Q5" t="s">
        <v>216</v>
      </c>
    </row>
    <row r="6" spans="2:27" hidden="1" x14ac:dyDescent="0.2">
      <c r="B6" t="s">
        <v>208</v>
      </c>
      <c r="F6" s="715"/>
      <c r="Q6" t="s">
        <v>210</v>
      </c>
    </row>
    <row r="7" spans="2:27" ht="15.75" x14ac:dyDescent="0.25">
      <c r="C7" s="677" t="s">
        <v>230</v>
      </c>
      <c r="D7" s="715"/>
      <c r="G7" s="53"/>
      <c r="H7" s="53"/>
      <c r="I7" s="1"/>
      <c r="J7" s="1"/>
      <c r="K7" s="1"/>
      <c r="L7" s="1"/>
      <c r="M7" s="1"/>
      <c r="N7" s="1"/>
      <c r="O7" s="1"/>
      <c r="P7" s="1"/>
      <c r="Q7" s="1"/>
    </row>
    <row r="8" spans="2:27" ht="15.75" x14ac:dyDescent="0.25">
      <c r="C8" s="80"/>
      <c r="G8" s="53"/>
      <c r="H8" s="53"/>
      <c r="I8" s="1"/>
      <c r="J8" s="1"/>
      <c r="K8" s="1"/>
      <c r="L8" s="1"/>
      <c r="M8" s="1"/>
      <c r="N8" s="1"/>
      <c r="O8" s="1"/>
      <c r="P8" s="1"/>
      <c r="Q8" s="1"/>
    </row>
    <row r="9" spans="2:27" ht="13.5" thickBot="1" x14ac:dyDescent="0.25">
      <c r="B9" s="3"/>
      <c r="C9" s="3"/>
      <c r="D9" s="3"/>
      <c r="E9" s="58"/>
      <c r="F9" s="716"/>
      <c r="G9" s="58"/>
      <c r="H9" s="58"/>
      <c r="I9" s="4"/>
      <c r="J9" s="4"/>
      <c r="K9" s="4"/>
      <c r="L9" s="4"/>
      <c r="M9" s="4"/>
      <c r="N9" s="4"/>
      <c r="O9" s="4"/>
      <c r="P9" s="4"/>
      <c r="Q9" s="3"/>
      <c r="T9" s="1" t="s">
        <v>2</v>
      </c>
    </row>
    <row r="10" spans="2:27" ht="13.5" thickBot="1" x14ac:dyDescent="0.25">
      <c r="B10" s="2"/>
      <c r="C10" s="782" t="s">
        <v>1</v>
      </c>
      <c r="D10" s="773" t="s">
        <v>170</v>
      </c>
      <c r="E10" s="774"/>
      <c r="F10" s="773" t="s">
        <v>176</v>
      </c>
      <c r="G10" s="774"/>
      <c r="H10" s="773" t="s">
        <v>178</v>
      </c>
      <c r="I10" s="774"/>
      <c r="J10" s="597" t="s">
        <v>179</v>
      </c>
      <c r="K10" s="773" t="s">
        <v>224</v>
      </c>
      <c r="L10" s="774"/>
      <c r="M10" s="773" t="s">
        <v>225</v>
      </c>
      <c r="N10" s="774"/>
      <c r="O10" s="777" t="s">
        <v>226</v>
      </c>
      <c r="P10" s="775" t="s">
        <v>229</v>
      </c>
      <c r="Q10" s="598"/>
      <c r="R10" s="598"/>
      <c r="S10" s="598"/>
      <c r="T10" s="598"/>
      <c r="U10" s="599"/>
    </row>
    <row r="11" spans="2:27" ht="23.25" customHeight="1" thickBot="1" x14ac:dyDescent="0.25">
      <c r="B11" s="5"/>
      <c r="C11" s="783"/>
      <c r="D11" s="60" t="s">
        <v>2</v>
      </c>
      <c r="E11" s="57" t="s">
        <v>203</v>
      </c>
      <c r="F11" s="717" t="s">
        <v>2</v>
      </c>
      <c r="G11" s="57" t="s">
        <v>203</v>
      </c>
      <c r="H11" s="5" t="s">
        <v>2</v>
      </c>
      <c r="I11" s="57" t="s">
        <v>204</v>
      </c>
      <c r="J11" s="600" t="s">
        <v>89</v>
      </c>
      <c r="K11" s="678" t="s">
        <v>89</v>
      </c>
      <c r="L11" s="684"/>
      <c r="M11" s="678" t="s">
        <v>89</v>
      </c>
      <c r="N11" s="678"/>
      <c r="O11" s="778"/>
      <c r="P11" s="776"/>
      <c r="Q11" s="752" t="s">
        <v>88</v>
      </c>
      <c r="R11" s="222" t="s">
        <v>212</v>
      </c>
      <c r="S11" s="224" t="s">
        <v>213</v>
      </c>
      <c r="T11" s="224" t="s">
        <v>214</v>
      </c>
      <c r="U11" s="223" t="s">
        <v>215</v>
      </c>
    </row>
    <row r="12" spans="2:27" ht="13.5" thickBot="1" x14ac:dyDescent="0.25">
      <c r="B12" s="54">
        <v>1</v>
      </c>
      <c r="C12" s="55">
        <v>2</v>
      </c>
      <c r="D12" s="59">
        <v>3</v>
      </c>
      <c r="E12" s="55">
        <v>4</v>
      </c>
      <c r="F12" s="718">
        <v>5</v>
      </c>
      <c r="G12" s="55">
        <v>6</v>
      </c>
      <c r="H12" s="52">
        <v>7</v>
      </c>
      <c r="I12" s="55">
        <v>8</v>
      </c>
      <c r="J12" s="52">
        <v>9</v>
      </c>
      <c r="K12" s="55">
        <v>3</v>
      </c>
      <c r="L12" s="59">
        <v>4</v>
      </c>
      <c r="M12" s="54">
        <v>5</v>
      </c>
      <c r="N12" s="54">
        <v>6</v>
      </c>
      <c r="O12" s="54">
        <v>7</v>
      </c>
      <c r="P12" s="540"/>
      <c r="Q12" s="753">
        <v>10</v>
      </c>
      <c r="R12" s="218">
        <v>11</v>
      </c>
      <c r="S12" s="220">
        <v>12</v>
      </c>
      <c r="T12" s="220">
        <v>13</v>
      </c>
      <c r="U12" s="219">
        <v>14</v>
      </c>
    </row>
    <row r="13" spans="2:27" x14ac:dyDescent="0.2">
      <c r="B13" s="6">
        <v>1</v>
      </c>
      <c r="C13" s="7" t="s">
        <v>3</v>
      </c>
      <c r="D13" s="81">
        <f>D15+D21+D30</f>
        <v>4986.8</v>
      </c>
      <c r="E13" s="105">
        <f>D13/12/2.868</f>
        <v>144.89772198977221</v>
      </c>
      <c r="F13" s="81">
        <f>F15+F21+F30</f>
        <v>5390</v>
      </c>
      <c r="G13" s="105">
        <f>F13/12/2.868</f>
        <v>156.61320316132034</v>
      </c>
      <c r="H13" s="81">
        <f>H15+H21+H30</f>
        <v>5613.4000000000005</v>
      </c>
      <c r="I13" s="105">
        <f>H13/12/2.868</f>
        <v>163.10437006043702</v>
      </c>
      <c r="J13" s="81">
        <f>J15+J21+J30</f>
        <v>5766.7000000000007</v>
      </c>
      <c r="K13" s="541">
        <f>K15+K21+K30</f>
        <v>5766.7000000000007</v>
      </c>
      <c r="L13" s="81"/>
      <c r="M13" s="287">
        <f>M15+M21+M30</f>
        <v>6034.0999999999995</v>
      </c>
      <c r="N13" s="287"/>
      <c r="O13" s="687">
        <f>M13/K13</f>
        <v>1.0463696741637329</v>
      </c>
      <c r="P13" s="541"/>
      <c r="Q13" s="672">
        <f>J13/12/2.868</f>
        <v>167.55869363086939</v>
      </c>
      <c r="R13" s="422">
        <f>R15+R21+R30</f>
        <v>1448.1</v>
      </c>
      <c r="S13" s="423">
        <f>S15+S21+S30</f>
        <v>1435.6000000000001</v>
      </c>
      <c r="T13" s="422">
        <f>T15+T21+T30</f>
        <v>1421.2999999999997</v>
      </c>
      <c r="U13" s="423">
        <f>U15+U21+U30</f>
        <v>1461.7</v>
      </c>
      <c r="V13" s="199">
        <f>SUM(R13:U13)</f>
        <v>5766.7</v>
      </c>
      <c r="W13" s="350">
        <f>V15+V21+V30</f>
        <v>5766.7000000000007</v>
      </c>
      <c r="X13" s="350">
        <f>SUM(W13)</f>
        <v>5766.7000000000007</v>
      </c>
      <c r="Y13" s="199">
        <f>R13+S13+T13+U13</f>
        <v>5766.7</v>
      </c>
      <c r="Z13" s="199"/>
      <c r="AA13" s="199"/>
    </row>
    <row r="14" spans="2:27" x14ac:dyDescent="0.2">
      <c r="B14" s="8"/>
      <c r="C14" s="9" t="s">
        <v>4</v>
      </c>
      <c r="D14" s="82"/>
      <c r="E14" s="19"/>
      <c r="F14" s="82"/>
      <c r="G14" s="19"/>
      <c r="H14" s="82"/>
      <c r="I14" s="19"/>
      <c r="J14" s="82"/>
      <c r="K14" s="246"/>
      <c r="L14" s="82"/>
      <c r="M14" s="609"/>
      <c r="N14" s="609"/>
      <c r="O14" s="246"/>
      <c r="P14" s="246"/>
      <c r="Q14" s="238"/>
      <c r="R14" s="719"/>
      <c r="S14" s="720"/>
      <c r="T14" s="720"/>
      <c r="U14" s="721"/>
      <c r="V14" s="350"/>
    </row>
    <row r="15" spans="2:27" ht="23.25" customHeight="1" x14ac:dyDescent="0.2">
      <c r="B15" s="14" t="s">
        <v>5</v>
      </c>
      <c r="C15" s="74" t="s">
        <v>140</v>
      </c>
      <c r="D15" s="82">
        <f>D16+D17+D18+D19</f>
        <v>4198.1000000000004</v>
      </c>
      <c r="E15" s="19">
        <f>D15/12/2.868</f>
        <v>121.98105532310555</v>
      </c>
      <c r="F15" s="82">
        <f>F16+F17+F18+F19</f>
        <v>4591.3</v>
      </c>
      <c r="G15" s="19">
        <f>F15/12/2.868</f>
        <v>133.40597396559741</v>
      </c>
      <c r="H15" s="82">
        <v>4707.1000000000004</v>
      </c>
      <c r="I15" s="19">
        <f>H15/12/2.868</f>
        <v>136.77068805206883</v>
      </c>
      <c r="J15" s="348">
        <f>J16+J17+J18+J19</f>
        <v>4591.3</v>
      </c>
      <c r="K15" s="243">
        <f>SUM(K16:K19)</f>
        <v>4591.3</v>
      </c>
      <c r="L15" s="348"/>
      <c r="M15" s="610">
        <f>SUM(M16:M19)</f>
        <v>4998.3999999999996</v>
      </c>
      <c r="N15" s="610"/>
      <c r="O15" s="688">
        <f>M15/K15</f>
        <v>1.0886676976019862</v>
      </c>
      <c r="P15" s="243"/>
      <c r="Q15" s="238">
        <f>J15/12/2.868</f>
        <v>133.40597396559741</v>
      </c>
      <c r="R15" s="412">
        <f>R16+R17+R18+R19</f>
        <v>1147.8</v>
      </c>
      <c r="S15" s="331">
        <f>S16+S17+S18+S19</f>
        <v>1147.8</v>
      </c>
      <c r="T15" s="331">
        <f>T16+T17+T18+T19</f>
        <v>1147.8</v>
      </c>
      <c r="U15" s="337">
        <f>U16+U17+U18+U19</f>
        <v>1147.9000000000001</v>
      </c>
      <c r="V15">
        <v>4591.3</v>
      </c>
      <c r="X15" s="350">
        <f>R15+S15+T15+U15</f>
        <v>4591.2999999999993</v>
      </c>
      <c r="Y15" s="350">
        <f>X16+X17+X18+X19</f>
        <v>4591.3</v>
      </c>
      <c r="Z15" s="199"/>
    </row>
    <row r="16" spans="2:27" x14ac:dyDescent="0.2">
      <c r="B16" s="14"/>
      <c r="C16" s="15" t="s">
        <v>6</v>
      </c>
      <c r="D16" s="102">
        <v>3926.9</v>
      </c>
      <c r="E16" s="19"/>
      <c r="F16" s="102">
        <v>4294.6000000000004</v>
      </c>
      <c r="G16" s="19"/>
      <c r="H16" s="102">
        <v>4155.3999999999996</v>
      </c>
      <c r="I16" s="19"/>
      <c r="J16" s="102">
        <f>4549.3-J17-J18</f>
        <v>3225.7</v>
      </c>
      <c r="K16" s="89">
        <v>3225.7</v>
      </c>
      <c r="L16" s="102"/>
      <c r="M16" s="89">
        <v>3827.7</v>
      </c>
      <c r="N16" s="494"/>
      <c r="O16" s="494"/>
      <c r="P16" s="670"/>
      <c r="Q16" s="238"/>
      <c r="R16" s="406">
        <v>806.4</v>
      </c>
      <c r="S16" s="319">
        <v>806.4</v>
      </c>
      <c r="T16" s="319">
        <v>806.4</v>
      </c>
      <c r="U16" s="320">
        <v>806.5</v>
      </c>
      <c r="X16" s="350">
        <f>SUM(R16:W16)</f>
        <v>3225.7</v>
      </c>
    </row>
    <row r="17" spans="2:24" x14ac:dyDescent="0.2">
      <c r="B17" s="14"/>
      <c r="C17" s="15" t="s">
        <v>7</v>
      </c>
      <c r="D17" s="102">
        <v>38.4</v>
      </c>
      <c r="E17" s="19"/>
      <c r="F17" s="102">
        <v>40.9</v>
      </c>
      <c r="G17" s="19"/>
      <c r="H17" s="102">
        <v>324.2</v>
      </c>
      <c r="I17" s="19"/>
      <c r="J17" s="102">
        <f>287.7*4</f>
        <v>1150.8</v>
      </c>
      <c r="K17" s="89">
        <v>1150.8</v>
      </c>
      <c r="L17" s="102"/>
      <c r="M17" s="89">
        <v>972.2</v>
      </c>
      <c r="N17" s="494"/>
      <c r="O17" s="494"/>
      <c r="P17" s="89"/>
      <c r="Q17" s="238"/>
      <c r="R17" s="406">
        <v>287.7</v>
      </c>
      <c r="S17" s="319">
        <v>287.7</v>
      </c>
      <c r="T17" s="319">
        <v>287.7</v>
      </c>
      <c r="U17" s="320">
        <v>287.7</v>
      </c>
      <c r="X17" s="350">
        <f>SUM(R17:W17)</f>
        <v>1150.8</v>
      </c>
    </row>
    <row r="18" spans="2:24" x14ac:dyDescent="0.2">
      <c r="B18" s="14"/>
      <c r="C18" s="15" t="s">
        <v>8</v>
      </c>
      <c r="D18" s="102">
        <v>194.8</v>
      </c>
      <c r="E18" s="19"/>
      <c r="F18" s="102">
        <v>213.8</v>
      </c>
      <c r="G18" s="19"/>
      <c r="H18" s="102">
        <v>189</v>
      </c>
      <c r="I18" s="19"/>
      <c r="J18" s="102">
        <f>43.2*4</f>
        <v>172.8</v>
      </c>
      <c r="K18" s="89">
        <v>172.8</v>
      </c>
      <c r="L18" s="102"/>
      <c r="M18" s="89">
        <v>161.19999999999999</v>
      </c>
      <c r="N18" s="494"/>
      <c r="O18" s="494"/>
      <c r="P18" s="89"/>
      <c r="Q18" s="238"/>
      <c r="R18" s="406">
        <v>43.2</v>
      </c>
      <c r="S18" s="319">
        <v>43.2</v>
      </c>
      <c r="T18" s="319">
        <v>43.2</v>
      </c>
      <c r="U18" s="320">
        <v>43.2</v>
      </c>
      <c r="X18" s="350">
        <f>SUM(R18:W18)</f>
        <v>172.8</v>
      </c>
    </row>
    <row r="19" spans="2:24" ht="24" customHeight="1" x14ac:dyDescent="0.2">
      <c r="B19" s="14"/>
      <c r="C19" s="73" t="s">
        <v>139</v>
      </c>
      <c r="D19" s="102">
        <v>38</v>
      </c>
      <c r="E19" s="19"/>
      <c r="F19" s="102">
        <v>42</v>
      </c>
      <c r="G19" s="19"/>
      <c r="H19" s="102">
        <v>38.5</v>
      </c>
      <c r="I19" s="19"/>
      <c r="J19" s="102">
        <v>42</v>
      </c>
      <c r="K19" s="89">
        <v>42</v>
      </c>
      <c r="L19" s="102"/>
      <c r="M19" s="89">
        <v>37.299999999999997</v>
      </c>
      <c r="N19" s="494"/>
      <c r="O19" s="494"/>
      <c r="P19" s="89"/>
      <c r="Q19" s="238"/>
      <c r="R19" s="406">
        <f>J19/4</f>
        <v>10.5</v>
      </c>
      <c r="S19" s="319">
        <f>J19/4</f>
        <v>10.5</v>
      </c>
      <c r="T19" s="319">
        <f>J19/4</f>
        <v>10.5</v>
      </c>
      <c r="U19" s="320">
        <f>J19/4</f>
        <v>10.5</v>
      </c>
      <c r="X19" s="350">
        <f>SUM(R19:W19)</f>
        <v>42</v>
      </c>
    </row>
    <row r="20" spans="2:24" ht="13.5" thickBot="1" x14ac:dyDescent="0.25">
      <c r="B20" s="165"/>
      <c r="C20" s="146" t="s">
        <v>9</v>
      </c>
      <c r="D20" s="166">
        <v>1795.8</v>
      </c>
      <c r="E20" s="34"/>
      <c r="F20" s="166">
        <v>1965.3</v>
      </c>
      <c r="G20" s="34"/>
      <c r="H20" s="166">
        <v>2059.33</v>
      </c>
      <c r="I20" s="34"/>
      <c r="J20" s="166">
        <f>J15*0.4376</f>
        <v>2009.1528800000001</v>
      </c>
      <c r="K20" s="155">
        <v>2009.2</v>
      </c>
      <c r="L20" s="166"/>
      <c r="M20" s="155">
        <v>2278.8000000000002</v>
      </c>
      <c r="N20" s="604"/>
      <c r="O20" s="604"/>
      <c r="P20" s="155"/>
      <c r="Q20" s="239"/>
      <c r="R20" s="416">
        <f>J20/4</f>
        <v>502.28822000000002</v>
      </c>
      <c r="S20" s="417">
        <f>J20/4</f>
        <v>502.28822000000002</v>
      </c>
      <c r="T20" s="417">
        <f>J20/4</f>
        <v>502.28822000000002</v>
      </c>
      <c r="U20" s="418">
        <f>J20/4</f>
        <v>502.28822000000002</v>
      </c>
    </row>
    <row r="21" spans="2:24" x14ac:dyDescent="0.2">
      <c r="B21" s="22" t="s">
        <v>10</v>
      </c>
      <c r="C21" s="23" t="s">
        <v>11</v>
      </c>
      <c r="D21" s="189">
        <f>D22+D23+D24</f>
        <v>698.5</v>
      </c>
      <c r="E21" s="40">
        <f>D21/12/2.868</f>
        <v>20.295792654579266</v>
      </c>
      <c r="F21" s="189">
        <f>F22+F23+F24</f>
        <v>703.3</v>
      </c>
      <c r="G21" s="40">
        <f>F21/12/2.868</f>
        <v>20.435262668526267</v>
      </c>
      <c r="H21" s="189">
        <v>818.3</v>
      </c>
      <c r="I21" s="40">
        <f>H21/12/2.868</f>
        <v>23.776731752673175</v>
      </c>
      <c r="J21" s="189">
        <f>J22+J23+J24</f>
        <v>977.1</v>
      </c>
      <c r="K21" s="245">
        <f>SUM(K22:K24)</f>
        <v>977.1</v>
      </c>
      <c r="L21" s="83"/>
      <c r="M21" s="189">
        <f>SUM(M22:M24)</f>
        <v>909.8</v>
      </c>
      <c r="N21" s="189"/>
      <c r="O21" s="687">
        <f>M21/K21</f>
        <v>0.93112271006038272</v>
      </c>
      <c r="P21" s="245"/>
      <c r="Q21" s="621">
        <f>J21/12/2.868</f>
        <v>28.390864714086472</v>
      </c>
      <c r="R21" s="287">
        <f>R22+R23+R24</f>
        <v>251.1</v>
      </c>
      <c r="S21" s="262">
        <f>S22+S23+S24</f>
        <v>238.60000000000002</v>
      </c>
      <c r="T21" s="262">
        <f>T22+T23+T24</f>
        <v>224.39999999999998</v>
      </c>
      <c r="U21" s="288">
        <f>U22+U23+U24</f>
        <v>263</v>
      </c>
      <c r="V21" s="199">
        <f>SUM(R21:U21)</f>
        <v>977.1</v>
      </c>
      <c r="X21" s="350">
        <f>R21+S21+T21+U21</f>
        <v>977.1</v>
      </c>
    </row>
    <row r="22" spans="2:24" x14ac:dyDescent="0.2">
      <c r="B22" s="14"/>
      <c r="C22" s="15" t="s">
        <v>12</v>
      </c>
      <c r="D22" s="102">
        <v>445.5</v>
      </c>
      <c r="E22" s="19"/>
      <c r="F22" s="102">
        <v>439.3</v>
      </c>
      <c r="G22" s="19"/>
      <c r="H22" s="102">
        <v>527.6</v>
      </c>
      <c r="I22" s="19"/>
      <c r="J22" s="306">
        <f>R22+S22+T22+U22</f>
        <v>657.1</v>
      </c>
      <c r="K22" s="89">
        <v>657.1</v>
      </c>
      <c r="L22" s="102"/>
      <c r="M22" s="494">
        <v>573.1</v>
      </c>
      <c r="N22" s="494"/>
      <c r="O22" s="494"/>
      <c r="P22" s="270"/>
      <c r="Q22" s="633"/>
      <c r="R22" s="404">
        <v>188.1</v>
      </c>
      <c r="S22" s="359">
        <v>142.5</v>
      </c>
      <c r="T22" s="356">
        <v>142.5</v>
      </c>
      <c r="U22" s="357">
        <v>184</v>
      </c>
      <c r="X22" s="350">
        <f>R22+S22+T22+U22</f>
        <v>657.1</v>
      </c>
    </row>
    <row r="23" spans="2:24" x14ac:dyDescent="0.2">
      <c r="B23" s="64"/>
      <c r="C23" s="15" t="s">
        <v>13</v>
      </c>
      <c r="D23" s="102">
        <v>77</v>
      </c>
      <c r="E23" s="19"/>
      <c r="F23" s="102">
        <v>82.7</v>
      </c>
      <c r="G23" s="19"/>
      <c r="H23" s="102">
        <v>89.7</v>
      </c>
      <c r="I23" s="19"/>
      <c r="J23" s="306">
        <v>85.4</v>
      </c>
      <c r="K23" s="89">
        <v>85.4</v>
      </c>
      <c r="L23" s="102"/>
      <c r="M23" s="494">
        <v>85.4</v>
      </c>
      <c r="N23" s="494"/>
      <c r="O23" s="494"/>
      <c r="P23" s="270"/>
      <c r="Q23" s="633"/>
      <c r="R23" s="404">
        <v>21.5</v>
      </c>
      <c r="S23" s="359">
        <v>21.3</v>
      </c>
      <c r="T23" s="356">
        <v>21.2</v>
      </c>
      <c r="U23" s="357">
        <v>21.4</v>
      </c>
    </row>
    <row r="24" spans="2:24" x14ac:dyDescent="0.2">
      <c r="B24" s="14"/>
      <c r="C24" s="15" t="s">
        <v>181</v>
      </c>
      <c r="D24" s="102">
        <f>SUM(D25:D29)</f>
        <v>176</v>
      </c>
      <c r="E24" s="19"/>
      <c r="F24" s="102">
        <f>SUM(F25:F29)</f>
        <v>181.3</v>
      </c>
      <c r="G24" s="19"/>
      <c r="H24" s="102">
        <f>SUM(H25:H29)</f>
        <v>200.95399999999998</v>
      </c>
      <c r="I24" s="19"/>
      <c r="J24" s="306">
        <f>SUM(J25:J29)</f>
        <v>234.6</v>
      </c>
      <c r="K24" s="89">
        <v>234.6</v>
      </c>
      <c r="L24" s="102"/>
      <c r="M24" s="89">
        <f>SUM(M25:M28)</f>
        <v>251.29999999999998</v>
      </c>
      <c r="N24" s="494"/>
      <c r="O24" s="494"/>
      <c r="P24" s="270"/>
      <c r="Q24" s="633"/>
      <c r="R24" s="402">
        <f>SUM(R25:R29)</f>
        <v>41.5</v>
      </c>
      <c r="S24" s="356">
        <f>SUM(S25:S29)</f>
        <v>74.800000000000011</v>
      </c>
      <c r="T24" s="356">
        <f>SUM(T25:T29)</f>
        <v>60.7</v>
      </c>
      <c r="U24" s="357">
        <f>SUM(U25:U29)</f>
        <v>57.599999999999994</v>
      </c>
    </row>
    <row r="25" spans="2:24" x14ac:dyDescent="0.2">
      <c r="B25" s="68"/>
      <c r="C25" s="321" t="s">
        <v>182</v>
      </c>
      <c r="D25" s="322">
        <v>54.9</v>
      </c>
      <c r="E25" s="206"/>
      <c r="F25" s="322">
        <v>33.299999999999997</v>
      </c>
      <c r="G25" s="206"/>
      <c r="H25" s="322">
        <v>42</v>
      </c>
      <c r="I25" s="206"/>
      <c r="J25" s="358">
        <f>R25+S25+T25+U25</f>
        <v>43.7</v>
      </c>
      <c r="K25" s="89">
        <v>43.7</v>
      </c>
      <c r="L25" s="322"/>
      <c r="M25" s="611">
        <v>43.7</v>
      </c>
      <c r="N25" s="611"/>
      <c r="O25" s="611"/>
      <c r="P25" s="542"/>
      <c r="Q25" s="754"/>
      <c r="R25" s="488">
        <v>23.5</v>
      </c>
      <c r="S25" s="483"/>
      <c r="T25" s="484"/>
      <c r="U25" s="485">
        <f>21.9-1.7</f>
        <v>20.2</v>
      </c>
      <c r="X25" s="199">
        <f>R25+U25</f>
        <v>43.7</v>
      </c>
    </row>
    <row r="26" spans="2:24" x14ac:dyDescent="0.2">
      <c r="B26" s="11"/>
      <c r="C26" s="75" t="s">
        <v>145</v>
      </c>
      <c r="D26" s="102">
        <v>106.1</v>
      </c>
      <c r="E26" s="19"/>
      <c r="F26" s="102">
        <v>108.5</v>
      </c>
      <c r="G26" s="19"/>
      <c r="H26" s="102">
        <f>45.25+66.104</f>
        <v>111.354</v>
      </c>
      <c r="I26" s="19"/>
      <c r="J26" s="306">
        <f>R26+S26+T26+U26</f>
        <v>122.30000000000001</v>
      </c>
      <c r="K26" s="89">
        <v>122.3</v>
      </c>
      <c r="L26" s="102"/>
      <c r="M26" s="494">
        <v>122.3</v>
      </c>
      <c r="N26" s="494"/>
      <c r="O26" s="494"/>
      <c r="P26" s="270"/>
      <c r="Q26" s="633"/>
      <c r="R26" s="403"/>
      <c r="S26" s="269">
        <v>42.2</v>
      </c>
      <c r="T26" s="359">
        <v>60.7</v>
      </c>
      <c r="U26" s="357">
        <v>19.399999999999999</v>
      </c>
    </row>
    <row r="27" spans="2:24" x14ac:dyDescent="0.2">
      <c r="B27" s="68"/>
      <c r="C27" s="75" t="s">
        <v>183</v>
      </c>
      <c r="D27" s="102">
        <v>15</v>
      </c>
      <c r="E27" s="19"/>
      <c r="F27" s="102">
        <v>16.7</v>
      </c>
      <c r="G27" s="19"/>
      <c r="H27" s="102">
        <v>25</v>
      </c>
      <c r="I27" s="19"/>
      <c r="J27" s="306">
        <f>R27+S27+T27+U27</f>
        <v>36</v>
      </c>
      <c r="K27" s="89">
        <v>36</v>
      </c>
      <c r="L27" s="102"/>
      <c r="M27" s="494">
        <v>52.7</v>
      </c>
      <c r="N27" s="494"/>
      <c r="O27" s="494"/>
      <c r="P27" s="270"/>
      <c r="Q27" s="633"/>
      <c r="R27" s="404">
        <v>18</v>
      </c>
      <c r="S27" s="269"/>
      <c r="T27" s="359"/>
      <c r="U27" s="357">
        <v>18</v>
      </c>
    </row>
    <row r="28" spans="2:24" x14ac:dyDescent="0.2">
      <c r="B28" s="11"/>
      <c r="C28" s="75" t="s">
        <v>223</v>
      </c>
      <c r="D28" s="102"/>
      <c r="E28" s="19"/>
      <c r="F28" s="102">
        <v>22.8</v>
      </c>
      <c r="G28" s="19"/>
      <c r="H28" s="102">
        <v>22.6</v>
      </c>
      <c r="I28" s="19"/>
      <c r="J28" s="306">
        <f>R28+S28+T28+U28</f>
        <v>32.6</v>
      </c>
      <c r="K28" s="89">
        <v>32.6</v>
      </c>
      <c r="L28" s="102"/>
      <c r="M28" s="494">
        <v>32.6</v>
      </c>
      <c r="N28" s="494"/>
      <c r="O28" s="494"/>
      <c r="P28" s="270"/>
      <c r="Q28" s="633"/>
      <c r="R28" s="403"/>
      <c r="S28" s="269">
        <v>32.6</v>
      </c>
      <c r="T28" s="360"/>
      <c r="U28" s="361"/>
    </row>
    <row r="29" spans="2:24" ht="13.5" thickBot="1" x14ac:dyDescent="0.25">
      <c r="B29" s="326"/>
      <c r="C29" s="325"/>
      <c r="D29" s="207"/>
      <c r="E29" s="195"/>
      <c r="F29" s="207"/>
      <c r="G29" s="195"/>
      <c r="H29" s="207"/>
      <c r="I29" s="195"/>
      <c r="J29" s="207"/>
      <c r="K29" s="543"/>
      <c r="L29" s="207"/>
      <c r="M29" s="612"/>
      <c r="N29" s="612"/>
      <c r="O29" s="612"/>
      <c r="P29" s="543"/>
      <c r="Q29" s="755"/>
      <c r="R29" s="405"/>
      <c r="S29" s="323"/>
      <c r="T29" s="505"/>
      <c r="U29" s="324"/>
    </row>
    <row r="30" spans="2:24" x14ac:dyDescent="0.2">
      <c r="B30" s="22" t="s">
        <v>14</v>
      </c>
      <c r="C30" s="35" t="s">
        <v>146</v>
      </c>
      <c r="D30" s="83">
        <f>D31+D32+D33+D34</f>
        <v>90.2</v>
      </c>
      <c r="E30" s="40">
        <f>D30/12/2.868</f>
        <v>2.6208740120874015</v>
      </c>
      <c r="F30" s="83">
        <f>SUM(F31:F34)</f>
        <v>95.4</v>
      </c>
      <c r="G30" s="40">
        <f>F30/12/2.868</f>
        <v>2.7719665271966529</v>
      </c>
      <c r="H30" s="83">
        <v>88</v>
      </c>
      <c r="I30" s="40">
        <f>H30/12/2.868</f>
        <v>2.5569502556950257</v>
      </c>
      <c r="J30" s="83">
        <f>J31+J32+J33+J34</f>
        <v>198.3</v>
      </c>
      <c r="K30" s="245">
        <f>SUM(K31:K34)</f>
        <v>198.3</v>
      </c>
      <c r="L30" s="83"/>
      <c r="M30" s="189">
        <f>SUM(M31:M34)</f>
        <v>125.9</v>
      </c>
      <c r="N30" s="189"/>
      <c r="O30" s="687">
        <f>M30/K30</f>
        <v>0.63489662128088753</v>
      </c>
      <c r="P30" s="541"/>
      <c r="Q30" s="621">
        <f>J30/12/2.868</f>
        <v>5.7618549511854962</v>
      </c>
      <c r="R30" s="83">
        <f>R31+R32+R33+R34</f>
        <v>49.2</v>
      </c>
      <c r="S30" s="506">
        <f>S31+S32+S33+S34</f>
        <v>49.2</v>
      </c>
      <c r="T30" s="262">
        <f>T31+T32+T33+T34</f>
        <v>49.1</v>
      </c>
      <c r="U30" s="288">
        <f>U31+U32+U33+U34</f>
        <v>50.8</v>
      </c>
      <c r="V30" s="350">
        <f>SUM(R30:U30)</f>
        <v>198.3</v>
      </c>
      <c r="X30" s="350">
        <f>R30+S30+T30+U30</f>
        <v>198.3</v>
      </c>
    </row>
    <row r="31" spans="2:24" x14ac:dyDescent="0.2">
      <c r="B31" s="14"/>
      <c r="C31" s="20" t="s">
        <v>147</v>
      </c>
      <c r="D31" s="102">
        <v>76</v>
      </c>
      <c r="E31" s="19"/>
      <c r="F31" s="306">
        <v>82</v>
      </c>
      <c r="G31" s="19"/>
      <c r="H31" s="102">
        <v>82.6</v>
      </c>
      <c r="I31" s="19"/>
      <c r="J31" s="102">
        <f>R31+S31+T31+U31</f>
        <v>83.6</v>
      </c>
      <c r="K31" s="89">
        <v>83.6</v>
      </c>
      <c r="L31" s="102"/>
      <c r="M31" s="494">
        <v>86</v>
      </c>
      <c r="N31" s="494"/>
      <c r="O31" s="494"/>
      <c r="P31" s="89"/>
      <c r="Q31" s="238"/>
      <c r="R31" s="406">
        <v>20.9</v>
      </c>
      <c r="S31" s="318">
        <v>20.9</v>
      </c>
      <c r="T31" s="318">
        <v>20.9</v>
      </c>
      <c r="U31" s="236">
        <v>20.9</v>
      </c>
    </row>
    <row r="32" spans="2:24" x14ac:dyDescent="0.2">
      <c r="B32" s="22"/>
      <c r="C32" s="63" t="s">
        <v>148</v>
      </c>
      <c r="D32" s="204"/>
      <c r="E32" s="40"/>
      <c r="F32" s="204">
        <v>0.2</v>
      </c>
      <c r="G32" s="40"/>
      <c r="H32" s="204">
        <v>0.1</v>
      </c>
      <c r="I32" s="40"/>
      <c r="J32" s="102">
        <v>0.5</v>
      </c>
      <c r="K32" s="89">
        <v>0.5</v>
      </c>
      <c r="L32" s="204"/>
      <c r="M32" s="613"/>
      <c r="N32" s="613"/>
      <c r="O32" s="613"/>
      <c r="P32" s="546"/>
      <c r="Q32" s="621"/>
      <c r="R32" s="406">
        <v>0.1</v>
      </c>
      <c r="S32" s="318">
        <v>0.2</v>
      </c>
      <c r="T32" s="318">
        <v>0.1</v>
      </c>
      <c r="U32" s="236">
        <v>0.1</v>
      </c>
    </row>
    <row r="33" spans="2:26" x14ac:dyDescent="0.2">
      <c r="B33" s="68"/>
      <c r="C33" s="20" t="s">
        <v>149</v>
      </c>
      <c r="D33" s="102">
        <v>0.4</v>
      </c>
      <c r="E33" s="19"/>
      <c r="F33" s="102">
        <v>1.2</v>
      </c>
      <c r="G33" s="19"/>
      <c r="H33" s="102">
        <f>0.1</f>
        <v>0.1</v>
      </c>
      <c r="I33" s="19"/>
      <c r="J33" s="102">
        <v>0.5</v>
      </c>
      <c r="K33" s="89">
        <v>0.5</v>
      </c>
      <c r="L33" s="102"/>
      <c r="M33" s="494">
        <v>0.4</v>
      </c>
      <c r="N33" s="494"/>
      <c r="O33" s="494"/>
      <c r="P33" s="89"/>
      <c r="Q33" s="238"/>
      <c r="R33" s="406">
        <v>0.2</v>
      </c>
      <c r="S33" s="318">
        <v>0.1</v>
      </c>
      <c r="T33" s="318">
        <v>0.1</v>
      </c>
      <c r="U33" s="236">
        <v>0.1</v>
      </c>
    </row>
    <row r="34" spans="2:26" ht="13.5" thickBot="1" x14ac:dyDescent="0.25">
      <c r="B34" s="69"/>
      <c r="C34" s="208" t="s">
        <v>180</v>
      </c>
      <c r="D34" s="207">
        <v>13.8</v>
      </c>
      <c r="E34" s="195"/>
      <c r="F34" s="207">
        <v>12</v>
      </c>
      <c r="G34" s="195"/>
      <c r="H34" s="207">
        <v>5.2</v>
      </c>
      <c r="I34" s="195"/>
      <c r="J34" s="650">
        <f>R34+S34+T34+U34</f>
        <v>113.7</v>
      </c>
      <c r="K34" s="89">
        <v>113.7</v>
      </c>
      <c r="L34" s="322"/>
      <c r="M34" s="611">
        <f>125.9-SUM(M31:M33)</f>
        <v>39.5</v>
      </c>
      <c r="N34" s="611"/>
      <c r="O34" s="611"/>
      <c r="P34" s="539"/>
      <c r="Q34" s="756"/>
      <c r="R34" s="420">
        <v>28</v>
      </c>
      <c r="S34" s="271">
        <v>28</v>
      </c>
      <c r="T34" s="271">
        <v>28</v>
      </c>
      <c r="U34" s="421">
        <f>28+1.7</f>
        <v>29.7</v>
      </c>
      <c r="X34">
        <f>J15/(J102+J103)</f>
        <v>1.053316203629356</v>
      </c>
    </row>
    <row r="35" spans="2:26" x14ac:dyDescent="0.2">
      <c r="B35" s="375">
        <v>2</v>
      </c>
      <c r="C35" s="376" t="s">
        <v>15</v>
      </c>
      <c r="D35" s="377">
        <v>34.9</v>
      </c>
      <c r="E35" s="378">
        <f>D35/12/2.868</f>
        <v>1.0140632264063227</v>
      </c>
      <c r="F35" s="377">
        <v>35.700000000000003</v>
      </c>
      <c r="G35" s="378">
        <f>F35/12/2.868</f>
        <v>1.0373082287308228</v>
      </c>
      <c r="H35" s="377">
        <f>H36+H37+H38+H39</f>
        <v>553</v>
      </c>
      <c r="I35" s="378">
        <f>H35/12/2.868</f>
        <v>16.068107856810787</v>
      </c>
      <c r="J35" s="544">
        <f>R35+S35+T35+U35</f>
        <v>60.100000000000009</v>
      </c>
      <c r="K35" s="379">
        <f>SUM(K36:K39)</f>
        <v>60.100000000000009</v>
      </c>
      <c r="L35" s="652"/>
      <c r="M35" s="544">
        <f>SUM(M36:M39)</f>
        <v>131.6</v>
      </c>
      <c r="N35" s="544"/>
      <c r="O35" s="687">
        <f>M35/K35</f>
        <v>2.1896838602329445</v>
      </c>
      <c r="P35" s="379"/>
      <c r="Q35" s="757">
        <f>J35/12/2.868</f>
        <v>1.7462807996280802</v>
      </c>
      <c r="R35" s="407"/>
      <c r="S35" s="380">
        <f>S36+S37+S38+S39</f>
        <v>60.100000000000009</v>
      </c>
      <c r="T35" s="381"/>
      <c r="U35" s="382"/>
      <c r="V35" s="350">
        <f>SUM(R35:U35)</f>
        <v>60.100000000000009</v>
      </c>
    </row>
    <row r="36" spans="2:26" x14ac:dyDescent="0.2">
      <c r="B36" s="21"/>
      <c r="C36" s="20" t="s">
        <v>184</v>
      </c>
      <c r="D36" s="328">
        <f>D35-D37</f>
        <v>34.9</v>
      </c>
      <c r="E36" s="19"/>
      <c r="F36" s="328">
        <f>F35-F37-F38-F39</f>
        <v>30.700000000000003</v>
      </c>
      <c r="G36" s="19"/>
      <c r="H36" s="328">
        <v>548</v>
      </c>
      <c r="I36" s="19"/>
      <c r="J36" s="545">
        <f>48/1.2</f>
        <v>40</v>
      </c>
      <c r="K36" s="329">
        <v>40</v>
      </c>
      <c r="L36" s="328"/>
      <c r="M36" s="545">
        <f>121.7-6.8</f>
        <v>114.9</v>
      </c>
      <c r="N36" s="545"/>
      <c r="O36" s="545"/>
      <c r="P36" s="329"/>
      <c r="Q36" s="238"/>
      <c r="R36" s="284"/>
      <c r="S36" s="347">
        <v>40</v>
      </c>
      <c r="T36" s="330"/>
      <c r="U36" s="335"/>
    </row>
    <row r="37" spans="2:26" x14ac:dyDescent="0.2">
      <c r="B37" s="21"/>
      <c r="C37" s="343" t="s">
        <v>197</v>
      </c>
      <c r="D37" s="102"/>
      <c r="E37" s="19"/>
      <c r="F37" s="102"/>
      <c r="G37" s="19"/>
      <c r="H37" s="102"/>
      <c r="I37" s="19"/>
      <c r="J37" s="102">
        <v>6.7</v>
      </c>
      <c r="K37" s="329">
        <v>6.7</v>
      </c>
      <c r="L37" s="328"/>
      <c r="M37" s="545">
        <v>3.3</v>
      </c>
      <c r="N37" s="545"/>
      <c r="O37" s="545"/>
      <c r="P37" s="89"/>
      <c r="Q37" s="238"/>
      <c r="R37" s="408"/>
      <c r="S37" s="319">
        <f>J37</f>
        <v>6.7</v>
      </c>
      <c r="T37" s="342"/>
      <c r="U37" s="341"/>
    </row>
    <row r="38" spans="2:26" x14ac:dyDescent="0.2">
      <c r="B38" s="14"/>
      <c r="C38" s="63" t="s">
        <v>201</v>
      </c>
      <c r="D38" s="39"/>
      <c r="E38" s="40"/>
      <c r="F38" s="39"/>
      <c r="G38" s="40"/>
      <c r="H38" s="39"/>
      <c r="I38" s="40"/>
      <c r="J38" s="339">
        <v>6.7</v>
      </c>
      <c r="K38" s="329">
        <v>6.7</v>
      </c>
      <c r="L38" s="653"/>
      <c r="M38" s="590">
        <v>6.7</v>
      </c>
      <c r="N38" s="590"/>
      <c r="O38" s="590"/>
      <c r="P38" s="40"/>
      <c r="Q38" s="621"/>
      <c r="R38" s="409"/>
      <c r="S38" s="345">
        <v>6.7</v>
      </c>
      <c r="T38" s="344"/>
      <c r="U38" s="336"/>
    </row>
    <row r="39" spans="2:26" ht="13.5" thickBot="1" x14ac:dyDescent="0.25">
      <c r="B39" s="383"/>
      <c r="C39" s="208" t="s">
        <v>185</v>
      </c>
      <c r="D39" s="384"/>
      <c r="E39" s="195"/>
      <c r="F39" s="149">
        <v>5</v>
      </c>
      <c r="G39" s="195"/>
      <c r="H39" s="149">
        <v>5</v>
      </c>
      <c r="I39" s="195"/>
      <c r="J39" s="651">
        <f>8/1.2</f>
        <v>6.666666666666667</v>
      </c>
      <c r="K39" s="329">
        <v>6.7</v>
      </c>
      <c r="L39" s="654"/>
      <c r="M39" s="591">
        <v>6.7</v>
      </c>
      <c r="N39" s="591"/>
      <c r="O39" s="591"/>
      <c r="P39" s="195"/>
      <c r="Q39" s="755"/>
      <c r="R39" s="410"/>
      <c r="S39" s="385">
        <v>6.7</v>
      </c>
      <c r="T39" s="386"/>
      <c r="U39" s="387"/>
    </row>
    <row r="40" spans="2:26" x14ac:dyDescent="0.2">
      <c r="B40" s="6">
        <v>3</v>
      </c>
      <c r="C40" s="7" t="s">
        <v>16</v>
      </c>
      <c r="D40" s="81"/>
      <c r="E40" s="105"/>
      <c r="F40" s="81"/>
      <c r="G40" s="105"/>
      <c r="H40" s="81"/>
      <c r="I40" s="105"/>
      <c r="J40" s="81"/>
      <c r="K40" s="541"/>
      <c r="L40" s="81"/>
      <c r="M40" s="541"/>
      <c r="N40" s="617"/>
      <c r="O40" s="541"/>
      <c r="P40" s="617"/>
      <c r="Q40" s="672"/>
      <c r="R40" s="722"/>
      <c r="S40" s="723"/>
      <c r="T40" s="723"/>
      <c r="U40" s="724"/>
    </row>
    <row r="41" spans="2:26" ht="13.5" thickBot="1" x14ac:dyDescent="0.25">
      <c r="B41" s="31"/>
      <c r="C41" s="198" t="s">
        <v>164</v>
      </c>
      <c r="D41" s="107" t="e">
        <f>D102+D103+D104+D111+D112</f>
        <v>#REF!</v>
      </c>
      <c r="E41" s="34" t="e">
        <f>D41/12/2.868</f>
        <v>#REF!</v>
      </c>
      <c r="F41" s="107">
        <f>F102+F103+F104+F112</f>
        <v>5421.9299999999994</v>
      </c>
      <c r="G41" s="34">
        <f>F41/12/2.868</f>
        <v>157.54096931659691</v>
      </c>
      <c r="H41" s="107">
        <f>H102+H103+H104+H111+H112</f>
        <v>5823.2789999999995</v>
      </c>
      <c r="I41" s="34">
        <f>H41/12/2.868</f>
        <v>169.20266736401672</v>
      </c>
      <c r="J41" s="107">
        <f>J42+J50+J51+J52+J61+J69+J70+J80+J89+J99+J103+J104+J111+J112</f>
        <v>5782.7</v>
      </c>
      <c r="K41" s="295">
        <f>K102+K103+K104+K112</f>
        <v>5782.7000000000007</v>
      </c>
      <c r="L41" s="107"/>
      <c r="M41" s="295">
        <f>M102+M103+M104+M112</f>
        <v>6124.7700000000013</v>
      </c>
      <c r="N41" s="663"/>
      <c r="O41" s="689">
        <f>M41/K41</f>
        <v>1.0591540283950405</v>
      </c>
      <c r="P41" s="663"/>
      <c r="Q41" s="239">
        <f>J41/12/2.868</f>
        <v>168.02359367735937</v>
      </c>
      <c r="R41" s="411">
        <f>R42+R50+R51+R52+R69+R70+R80+R89+R99+R103+R104+R112</f>
        <v>1437.375</v>
      </c>
      <c r="S41" s="354">
        <f>S42+S50+S51+S52+S69+S70+S80+S89+S99+S103+S104+S112</f>
        <v>1484.9749999999999</v>
      </c>
      <c r="T41" s="352">
        <f>T42+T50+T51+T52+T69+T70+T80+T89+T99+T103+T104+T112-0.01</f>
        <v>1411.165</v>
      </c>
      <c r="U41" s="396">
        <f>U42+U50+U51+U52+U69+U70+U80+U89+U99+U103+U104+U112</f>
        <v>1449.175</v>
      </c>
      <c r="V41" s="107">
        <f>V42+V50+V51+V52+V69+V70+V80+V89+V99+V103+V104+V112</f>
        <v>5782.7</v>
      </c>
      <c r="X41" s="419">
        <f>R41+S41+T41+U41</f>
        <v>5782.69</v>
      </c>
      <c r="Z41" s="199">
        <f>R41+S41</f>
        <v>2922.35</v>
      </c>
    </row>
    <row r="42" spans="2:26" ht="13.5" thickBot="1" x14ac:dyDescent="0.25">
      <c r="B42" s="22" t="s">
        <v>17</v>
      </c>
      <c r="C42" s="23" t="s">
        <v>18</v>
      </c>
      <c r="D42" s="252" t="e">
        <f>D43+D49</f>
        <v>#REF!</v>
      </c>
      <c r="E42" s="40" t="e">
        <f>D42/12/2.868</f>
        <v>#REF!</v>
      </c>
      <c r="F42" s="83">
        <f>F43+F49</f>
        <v>1111.5</v>
      </c>
      <c r="G42" s="40">
        <f>F42/12/2.868</f>
        <v>32.296025104602514</v>
      </c>
      <c r="H42" s="252">
        <f>H43+H49</f>
        <v>1472.55</v>
      </c>
      <c r="I42" s="40">
        <f>H42/12/2.868</f>
        <v>42.786785216178522</v>
      </c>
      <c r="J42" s="83">
        <f>J43+J49</f>
        <v>1083.7</v>
      </c>
      <c r="K42" s="541">
        <v>1083.7</v>
      </c>
      <c r="L42" s="83"/>
      <c r="M42" s="245">
        <v>1506.67</v>
      </c>
      <c r="N42" s="614"/>
      <c r="O42" s="700">
        <f>M42/K42</f>
        <v>1.3903017440250991</v>
      </c>
      <c r="P42" s="671"/>
      <c r="Q42" s="621">
        <f>J42/12/2.868</f>
        <v>31.488261273826129</v>
      </c>
      <c r="R42" s="189">
        <f>R43+R49</f>
        <v>270.89999999999998</v>
      </c>
      <c r="S42" s="262">
        <f>S43+S49</f>
        <v>271.10000000000002</v>
      </c>
      <c r="T42" s="262">
        <f>T43+T49</f>
        <v>271</v>
      </c>
      <c r="U42" s="397">
        <f>U43+U49</f>
        <v>270.70000000000005</v>
      </c>
      <c r="V42" s="394">
        <f t="shared" ref="V42:V73" si="0">SUM(R42:U42)</f>
        <v>1083.7</v>
      </c>
      <c r="W42" s="390">
        <f t="shared" ref="W42:W73" si="1">V42-J42</f>
        <v>0</v>
      </c>
      <c r="X42" s="390">
        <f t="shared" ref="X42:X59" si="2">SUM(R42+S42+T42+U42)</f>
        <v>1083.7</v>
      </c>
    </row>
    <row r="43" spans="2:26" hidden="1" x14ac:dyDescent="0.2">
      <c r="B43" s="14" t="s">
        <v>19</v>
      </c>
      <c r="C43" s="24" t="s">
        <v>20</v>
      </c>
      <c r="D43" s="253">
        <f>D44+D45+D47+D48</f>
        <v>723.6</v>
      </c>
      <c r="E43" s="19">
        <f>D43/12/2.868</f>
        <v>21.025104602510464</v>
      </c>
      <c r="F43" s="82">
        <f>F44+F45+F47+F48</f>
        <v>693.80000000000007</v>
      </c>
      <c r="G43" s="19">
        <f>F43/12/2.868</f>
        <v>20.159228265922827</v>
      </c>
      <c r="H43" s="253">
        <f>H44+H45+H47+H48</f>
        <v>869.59999999999991</v>
      </c>
      <c r="I43" s="19">
        <f>H43/12/2.868</f>
        <v>25.267317526731748</v>
      </c>
      <c r="J43" s="85">
        <f>SUM(J44:J48)</f>
        <v>693.80000000000007</v>
      </c>
      <c r="K43" s="547">
        <f>K44+K45+K46+K47+K48</f>
        <v>347</v>
      </c>
      <c r="L43" s="85"/>
      <c r="M43" s="547"/>
      <c r="N43" s="240"/>
      <c r="O43" s="547"/>
      <c r="P43" s="240"/>
      <c r="Q43" s="238">
        <f>J43/12/2.868</f>
        <v>20.159228265922827</v>
      </c>
      <c r="R43" s="412">
        <f>SUM(R44:R48)</f>
        <v>173.4</v>
      </c>
      <c r="S43" s="331">
        <f>SUM(S44:S48)</f>
        <v>173.6</v>
      </c>
      <c r="T43" s="331">
        <f>SUM(T44:T48)</f>
        <v>173.5</v>
      </c>
      <c r="U43" s="398">
        <f>SUM(U44:U48)</f>
        <v>173.3</v>
      </c>
      <c r="V43" s="401">
        <f t="shared" si="0"/>
        <v>693.8</v>
      </c>
      <c r="W43" s="390">
        <f t="shared" si="1"/>
        <v>0</v>
      </c>
      <c r="X43" s="390">
        <f t="shared" si="2"/>
        <v>693.8</v>
      </c>
    </row>
    <row r="44" spans="2:26" hidden="1" x14ac:dyDescent="0.2">
      <c r="B44" s="28"/>
      <c r="C44" s="20" t="s">
        <v>21</v>
      </c>
      <c r="D44" s="725">
        <v>526.4</v>
      </c>
      <c r="E44" s="19"/>
      <c r="F44" s="726">
        <v>382.8</v>
      </c>
      <c r="G44" s="19"/>
      <c r="H44" s="725">
        <v>611.6</v>
      </c>
      <c r="I44" s="19"/>
      <c r="J44" s="726">
        <v>382.8</v>
      </c>
      <c r="K44" s="727">
        <f t="shared" ref="K44:K49" si="3">R44+S44</f>
        <v>191.4</v>
      </c>
      <c r="L44" s="726"/>
      <c r="M44" s="727"/>
      <c r="N44" s="728"/>
      <c r="O44" s="727"/>
      <c r="P44" s="728"/>
      <c r="Q44" s="238"/>
      <c r="R44" s="425">
        <f>J44/4</f>
        <v>95.7</v>
      </c>
      <c r="S44" s="426">
        <f>J44/4</f>
        <v>95.7</v>
      </c>
      <c r="T44" s="426">
        <f>J44/4</f>
        <v>95.7</v>
      </c>
      <c r="U44" s="427">
        <f>J44/4</f>
        <v>95.7</v>
      </c>
      <c r="V44" s="390">
        <f t="shared" si="0"/>
        <v>382.8</v>
      </c>
      <c r="W44" s="390">
        <f t="shared" si="1"/>
        <v>0</v>
      </c>
      <c r="X44" s="390">
        <f t="shared" si="2"/>
        <v>382.8</v>
      </c>
    </row>
    <row r="45" spans="2:26" hidden="1" x14ac:dyDescent="0.2">
      <c r="B45" s="28"/>
      <c r="C45" s="20" t="s">
        <v>22</v>
      </c>
      <c r="D45" s="725"/>
      <c r="E45" s="19"/>
      <c r="F45" s="726">
        <v>114.8</v>
      </c>
      <c r="G45" s="19"/>
      <c r="H45" s="725"/>
      <c r="I45" s="19"/>
      <c r="J45" s="726">
        <v>114.8</v>
      </c>
      <c r="K45" s="727">
        <f t="shared" si="3"/>
        <v>57.4</v>
      </c>
      <c r="L45" s="726"/>
      <c r="M45" s="727"/>
      <c r="N45" s="728"/>
      <c r="O45" s="727"/>
      <c r="P45" s="728"/>
      <c r="Q45" s="238"/>
      <c r="R45" s="425">
        <f>J45/4</f>
        <v>28.7</v>
      </c>
      <c r="S45" s="426">
        <f>J45/4</f>
        <v>28.7</v>
      </c>
      <c r="T45" s="426">
        <f>J45/4</f>
        <v>28.7</v>
      </c>
      <c r="U45" s="427">
        <f>J45/4</f>
        <v>28.7</v>
      </c>
      <c r="V45" s="390">
        <f t="shared" si="0"/>
        <v>114.8</v>
      </c>
      <c r="W45" s="390">
        <f t="shared" si="1"/>
        <v>0</v>
      </c>
      <c r="X45" s="390">
        <f t="shared" si="2"/>
        <v>114.8</v>
      </c>
    </row>
    <row r="46" spans="2:26" hidden="1" x14ac:dyDescent="0.2">
      <c r="B46" s="28"/>
      <c r="C46" s="20" t="s">
        <v>193</v>
      </c>
      <c r="D46" s="725"/>
      <c r="E46" s="19"/>
      <c r="F46" s="726"/>
      <c r="G46" s="19"/>
      <c r="H46" s="725"/>
      <c r="I46" s="19"/>
      <c r="J46" s="726">
        <v>60.1</v>
      </c>
      <c r="K46" s="727">
        <f t="shared" si="3"/>
        <v>30.1</v>
      </c>
      <c r="L46" s="726"/>
      <c r="M46" s="727"/>
      <c r="N46" s="728"/>
      <c r="O46" s="727"/>
      <c r="P46" s="728"/>
      <c r="Q46" s="238"/>
      <c r="R46" s="406">
        <v>15</v>
      </c>
      <c r="S46" s="319">
        <v>15.1</v>
      </c>
      <c r="T46" s="319">
        <v>15</v>
      </c>
      <c r="U46" s="357">
        <v>15</v>
      </c>
      <c r="V46" s="390">
        <f t="shared" si="0"/>
        <v>60.1</v>
      </c>
      <c r="W46" s="390">
        <f t="shared" si="1"/>
        <v>0</v>
      </c>
      <c r="X46" s="390">
        <f t="shared" si="2"/>
        <v>60.1</v>
      </c>
    </row>
    <row r="47" spans="2:26" hidden="1" x14ac:dyDescent="0.2">
      <c r="B47" s="28"/>
      <c r="C47" s="20" t="s">
        <v>198</v>
      </c>
      <c r="D47" s="725">
        <v>179.5</v>
      </c>
      <c r="E47" s="19"/>
      <c r="F47" s="726">
        <v>182.8</v>
      </c>
      <c r="G47" s="19"/>
      <c r="H47" s="725">
        <v>204.7</v>
      </c>
      <c r="I47" s="19"/>
      <c r="J47" s="726">
        <v>122.7</v>
      </c>
      <c r="K47" s="727">
        <f t="shared" si="3"/>
        <v>61.4</v>
      </c>
      <c r="L47" s="726"/>
      <c r="M47" s="727"/>
      <c r="N47" s="728"/>
      <c r="O47" s="727"/>
      <c r="P47" s="728"/>
      <c r="Q47" s="238"/>
      <c r="R47" s="406">
        <v>30.7</v>
      </c>
      <c r="S47" s="319">
        <v>30.7</v>
      </c>
      <c r="T47" s="319">
        <v>30.7</v>
      </c>
      <c r="U47" s="357">
        <v>30.6</v>
      </c>
      <c r="V47" s="390">
        <f t="shared" si="0"/>
        <v>122.69999999999999</v>
      </c>
      <c r="W47" s="390">
        <f t="shared" si="1"/>
        <v>0</v>
      </c>
      <c r="X47" s="390">
        <f t="shared" si="2"/>
        <v>122.69999999999999</v>
      </c>
    </row>
    <row r="48" spans="2:26" hidden="1" x14ac:dyDescent="0.2">
      <c r="B48" s="28"/>
      <c r="C48" s="20" t="s">
        <v>23</v>
      </c>
      <c r="D48" s="725">
        <v>17.7</v>
      </c>
      <c r="E48" s="19"/>
      <c r="F48" s="726">
        <v>13.4</v>
      </c>
      <c r="G48" s="19"/>
      <c r="H48" s="725">
        <v>53.3</v>
      </c>
      <c r="I48" s="19"/>
      <c r="J48" s="726">
        <v>13.4</v>
      </c>
      <c r="K48" s="727">
        <f t="shared" si="3"/>
        <v>6.6999999999999993</v>
      </c>
      <c r="L48" s="726"/>
      <c r="M48" s="727"/>
      <c r="N48" s="728"/>
      <c r="O48" s="727"/>
      <c r="P48" s="728"/>
      <c r="Q48" s="238"/>
      <c r="R48" s="425">
        <v>3.3</v>
      </c>
      <c r="S48" s="426">
        <v>3.4</v>
      </c>
      <c r="T48" s="426">
        <v>3.4</v>
      </c>
      <c r="U48" s="428">
        <v>3.3</v>
      </c>
      <c r="V48" s="390">
        <f t="shared" si="0"/>
        <v>13.399999999999999</v>
      </c>
      <c r="W48" s="390">
        <f t="shared" si="1"/>
        <v>0</v>
      </c>
      <c r="X48" s="390">
        <f t="shared" si="2"/>
        <v>13.399999999999999</v>
      </c>
    </row>
    <row r="49" spans="2:24" ht="13.5" hidden="1" thickBot="1" x14ac:dyDescent="0.25">
      <c r="B49" s="141"/>
      <c r="C49" s="125" t="s">
        <v>24</v>
      </c>
      <c r="D49" s="305" t="e">
        <f>(D44)*D153/100</f>
        <v>#REF!</v>
      </c>
      <c r="E49" s="188" t="e">
        <f>D49/12/2.868</f>
        <v>#REF!</v>
      </c>
      <c r="F49" s="304">
        <v>417.7</v>
      </c>
      <c r="G49" s="188">
        <f>F49/12/2.868</f>
        <v>12.136796838679683</v>
      </c>
      <c r="H49" s="510">
        <v>602.95000000000005</v>
      </c>
      <c r="I49" s="188">
        <f>H49/12/2.868</f>
        <v>17.51946768944677</v>
      </c>
      <c r="J49" s="507">
        <v>389.9</v>
      </c>
      <c r="K49" s="548">
        <f t="shared" si="3"/>
        <v>195</v>
      </c>
      <c r="L49" s="592"/>
      <c r="M49" s="548"/>
      <c r="N49" s="478"/>
      <c r="O49" s="548"/>
      <c r="P49" s="616"/>
      <c r="Q49" s="758">
        <f t="shared" ref="Q49:Q54" si="4">J49/12/2.868</f>
        <v>11.329033007903302</v>
      </c>
      <c r="R49" s="429">
        <v>97.5</v>
      </c>
      <c r="S49" s="430">
        <v>97.5</v>
      </c>
      <c r="T49" s="430">
        <v>97.5</v>
      </c>
      <c r="U49" s="431">
        <v>97.4</v>
      </c>
      <c r="V49" s="390">
        <f t="shared" si="0"/>
        <v>389.9</v>
      </c>
      <c r="W49" s="390">
        <f t="shared" si="1"/>
        <v>0</v>
      </c>
      <c r="X49" s="390">
        <f t="shared" si="2"/>
        <v>389.9</v>
      </c>
    </row>
    <row r="50" spans="2:24" ht="13.5" thickBot="1" x14ac:dyDescent="0.25">
      <c r="B50" s="110" t="s">
        <v>25</v>
      </c>
      <c r="C50" s="111" t="s">
        <v>26</v>
      </c>
      <c r="D50" s="255">
        <v>17.899999999999999</v>
      </c>
      <c r="E50" s="194">
        <f>D50/12/2.868</f>
        <v>0.52010692701069261</v>
      </c>
      <c r="F50" s="112">
        <v>16.5</v>
      </c>
      <c r="G50" s="194">
        <f>F50/12/2.868</f>
        <v>0.47942817294281731</v>
      </c>
      <c r="H50" s="255">
        <v>17.899999999999999</v>
      </c>
      <c r="I50" s="194">
        <f>H50/12/2.868</f>
        <v>0.52010692701069261</v>
      </c>
      <c r="J50" s="112">
        <v>16.5</v>
      </c>
      <c r="K50" s="729">
        <v>16.5</v>
      </c>
      <c r="L50" s="730"/>
      <c r="M50" s="729">
        <v>17.899999999999999</v>
      </c>
      <c r="N50" s="731"/>
      <c r="O50" s="700">
        <f>M50/K50</f>
        <v>1.0848484848484847</v>
      </c>
      <c r="P50" s="669"/>
      <c r="Q50" s="759">
        <f t="shared" si="4"/>
        <v>0.47942817294281731</v>
      </c>
      <c r="R50" s="432">
        <v>4.0999999999999996</v>
      </c>
      <c r="S50" s="433">
        <v>4.0999999999999996</v>
      </c>
      <c r="T50" s="433">
        <v>4.0999999999999996</v>
      </c>
      <c r="U50" s="434">
        <v>4.2</v>
      </c>
      <c r="V50" s="395">
        <f t="shared" si="0"/>
        <v>16.5</v>
      </c>
      <c r="W50" s="390">
        <f t="shared" si="1"/>
        <v>0</v>
      </c>
      <c r="X50" s="390">
        <f t="shared" si="2"/>
        <v>16.5</v>
      </c>
    </row>
    <row r="51" spans="2:24" ht="13.5" thickBot="1" x14ac:dyDescent="0.25">
      <c r="B51" s="110" t="s">
        <v>27</v>
      </c>
      <c r="C51" s="111" t="s">
        <v>28</v>
      </c>
      <c r="D51" s="255">
        <v>1.8</v>
      </c>
      <c r="E51" s="194">
        <f>D51/12/2.868</f>
        <v>5.2301255230125521E-2</v>
      </c>
      <c r="F51" s="112">
        <v>15.8</v>
      </c>
      <c r="G51" s="194">
        <f>F51/12/2.868</f>
        <v>0.45908879590887963</v>
      </c>
      <c r="H51" s="255">
        <v>4</v>
      </c>
      <c r="I51" s="194">
        <f>H51/12/2.868</f>
        <v>0.11622501162250116</v>
      </c>
      <c r="J51" s="112">
        <v>15.8</v>
      </c>
      <c r="K51" s="729">
        <v>15.8</v>
      </c>
      <c r="L51" s="730"/>
      <c r="M51" s="729">
        <v>4.5999999999999996</v>
      </c>
      <c r="N51" s="729"/>
      <c r="O51" s="705">
        <f>M51/K51</f>
        <v>0.29113924050632906</v>
      </c>
      <c r="P51" s="669"/>
      <c r="Q51" s="759">
        <f t="shared" si="4"/>
        <v>0.45908879590887963</v>
      </c>
      <c r="R51" s="432">
        <v>4</v>
      </c>
      <c r="S51" s="435">
        <v>3.9</v>
      </c>
      <c r="T51" s="435">
        <v>4</v>
      </c>
      <c r="U51" s="436">
        <v>3.9</v>
      </c>
      <c r="V51" s="395">
        <f t="shared" si="0"/>
        <v>15.8</v>
      </c>
      <c r="W51" s="390">
        <f t="shared" si="1"/>
        <v>0</v>
      </c>
      <c r="X51" s="390">
        <f t="shared" si="2"/>
        <v>15.8</v>
      </c>
    </row>
    <row r="52" spans="2:24" ht="13.5" thickBot="1" x14ac:dyDescent="0.25">
      <c r="B52" s="110" t="s">
        <v>29</v>
      </c>
      <c r="C52" s="703" t="s">
        <v>31</v>
      </c>
      <c r="D52" s="255" t="e">
        <f>D53+D59+D60</f>
        <v>#REF!</v>
      </c>
      <c r="E52" s="194" t="e">
        <f>D52/12/2.868</f>
        <v>#REF!</v>
      </c>
      <c r="F52" s="112">
        <f>F53+F59+F60</f>
        <v>246.89999999999998</v>
      </c>
      <c r="G52" s="194">
        <f>F52/12/2.868</f>
        <v>7.1739888423988845</v>
      </c>
      <c r="H52" s="255">
        <f>H53+H59+H60</f>
        <v>411.56</v>
      </c>
      <c r="I52" s="194">
        <f>H52/12/2.868</f>
        <v>11.958391445839146</v>
      </c>
      <c r="J52" s="112">
        <f>J53+J59+J60</f>
        <v>245.6</v>
      </c>
      <c r="K52" s="704">
        <v>245.6</v>
      </c>
      <c r="L52" s="112"/>
      <c r="M52" s="704">
        <v>615.4</v>
      </c>
      <c r="N52" s="704"/>
      <c r="O52" s="705">
        <f>M52/K52</f>
        <v>2.5057003257328989</v>
      </c>
      <c r="P52" s="706"/>
      <c r="Q52" s="672">
        <f t="shared" si="4"/>
        <v>7.1362157136215707</v>
      </c>
      <c r="R52" s="438">
        <f>R53+R59+R60</f>
        <v>61.3</v>
      </c>
      <c r="S52" s="439">
        <f>S53+S59+S60</f>
        <v>61.400000000000006</v>
      </c>
      <c r="T52" s="439">
        <f>T53+T59+T60</f>
        <v>61.400000000000006</v>
      </c>
      <c r="U52" s="440">
        <f>U53+U59+U60</f>
        <v>61.5</v>
      </c>
      <c r="V52" s="395">
        <f t="shared" si="0"/>
        <v>245.60000000000002</v>
      </c>
      <c r="W52" s="390">
        <f t="shared" si="1"/>
        <v>0</v>
      </c>
      <c r="X52" s="390">
        <f t="shared" si="2"/>
        <v>245.60000000000002</v>
      </c>
    </row>
    <row r="53" spans="2:24" hidden="1" x14ac:dyDescent="0.2">
      <c r="B53" s="290" t="s">
        <v>135</v>
      </c>
      <c r="C53" s="35" t="s">
        <v>33</v>
      </c>
      <c r="D53" s="701">
        <f>D54+D55+D57+D58</f>
        <v>123.67999999999999</v>
      </c>
      <c r="E53" s="41">
        <f>D53/12/2.868</f>
        <v>3.593677359367736</v>
      </c>
      <c r="F53" s="86">
        <v>37.9</v>
      </c>
      <c r="G53" s="41">
        <f>F53/12/2.868</f>
        <v>1.1012319851231984</v>
      </c>
      <c r="H53" s="701">
        <v>52.4</v>
      </c>
      <c r="I53" s="41">
        <f>H53/12/2.868</f>
        <v>1.5225476522547652</v>
      </c>
      <c r="J53" s="701">
        <f>J54+J55+J56+J57+J58</f>
        <v>37.9</v>
      </c>
      <c r="K53" s="666">
        <f t="shared" ref="K53:K60" si="5">R53+S53</f>
        <v>18.799999999999997</v>
      </c>
      <c r="L53" s="86"/>
      <c r="M53" s="666"/>
      <c r="N53" s="452"/>
      <c r="O53" s="666"/>
      <c r="P53" s="702"/>
      <c r="Q53" s="233">
        <f t="shared" si="4"/>
        <v>1.1012319851231984</v>
      </c>
      <c r="R53" s="585">
        <f>R54+R55+R56+R57+R58</f>
        <v>9.3999999999999986</v>
      </c>
      <c r="S53" s="586">
        <f>S54+S55+S56+S57+S58</f>
        <v>9.3999999999999986</v>
      </c>
      <c r="T53" s="318">
        <f>T54+T55+T56+T57+T58</f>
        <v>9.5</v>
      </c>
      <c r="U53" s="236">
        <f>U54+U55+U56+U57+U58</f>
        <v>9.6</v>
      </c>
      <c r="V53" s="390">
        <f t="shared" si="0"/>
        <v>37.9</v>
      </c>
      <c r="W53" s="390">
        <f t="shared" si="1"/>
        <v>0</v>
      </c>
      <c r="X53" s="390">
        <f t="shared" si="2"/>
        <v>37.9</v>
      </c>
    </row>
    <row r="54" spans="2:24" hidden="1" x14ac:dyDescent="0.2">
      <c r="B54" s="28"/>
      <c r="C54" s="20" t="s">
        <v>21</v>
      </c>
      <c r="D54" s="308">
        <v>18.579999999999998</v>
      </c>
      <c r="E54" s="19"/>
      <c r="F54" s="308">
        <f>18.6+5.5</f>
        <v>24.1</v>
      </c>
      <c r="G54" s="19"/>
      <c r="H54" s="308">
        <v>18.600000000000001</v>
      </c>
      <c r="I54" s="19"/>
      <c r="J54" s="308">
        <f>24.2</f>
        <v>24.2</v>
      </c>
      <c r="K54" s="727">
        <f t="shared" si="5"/>
        <v>12</v>
      </c>
      <c r="L54" s="726"/>
      <c r="M54" s="727"/>
      <c r="N54" s="728"/>
      <c r="O54" s="727"/>
      <c r="P54" s="618"/>
      <c r="Q54" s="238">
        <f t="shared" si="4"/>
        <v>0.70316132031613199</v>
      </c>
      <c r="R54" s="406">
        <v>6</v>
      </c>
      <c r="S54" s="318">
        <v>6</v>
      </c>
      <c r="T54" s="318">
        <v>6.1</v>
      </c>
      <c r="U54" s="437">
        <v>6.1</v>
      </c>
      <c r="V54" s="390">
        <f t="shared" si="0"/>
        <v>24.200000000000003</v>
      </c>
      <c r="W54" s="390">
        <f t="shared" si="1"/>
        <v>0</v>
      </c>
      <c r="X54" s="390">
        <f t="shared" si="2"/>
        <v>24.200000000000003</v>
      </c>
    </row>
    <row r="55" spans="2:24" hidden="1" x14ac:dyDescent="0.2">
      <c r="B55" s="28"/>
      <c r="C55" s="20" t="s">
        <v>22</v>
      </c>
      <c r="D55" s="308">
        <v>5.6</v>
      </c>
      <c r="E55" s="19"/>
      <c r="F55" s="308"/>
      <c r="G55" s="19"/>
      <c r="H55" s="308">
        <v>5.6</v>
      </c>
      <c r="I55" s="19"/>
      <c r="J55" s="308"/>
      <c r="K55" s="727">
        <f t="shared" si="5"/>
        <v>0</v>
      </c>
      <c r="L55" s="726"/>
      <c r="M55" s="727"/>
      <c r="N55" s="728"/>
      <c r="O55" s="727"/>
      <c r="P55" s="618"/>
      <c r="Q55" s="238"/>
      <c r="R55" s="406">
        <f>J55/4</f>
        <v>0</v>
      </c>
      <c r="S55" s="318">
        <f>J55/4</f>
        <v>0</v>
      </c>
      <c r="T55" s="318">
        <f>J55/4</f>
        <v>0</v>
      </c>
      <c r="U55" s="437">
        <f>J55/4</f>
        <v>0</v>
      </c>
      <c r="V55" s="390">
        <f t="shared" si="0"/>
        <v>0</v>
      </c>
      <c r="W55" s="390">
        <f t="shared" si="1"/>
        <v>0</v>
      </c>
      <c r="X55" s="390">
        <f t="shared" si="2"/>
        <v>0</v>
      </c>
    </row>
    <row r="56" spans="2:24" hidden="1" x14ac:dyDescent="0.2">
      <c r="B56" s="72"/>
      <c r="C56" s="20" t="s">
        <v>193</v>
      </c>
      <c r="D56" s="193"/>
      <c r="E56" s="19"/>
      <c r="F56" s="193"/>
      <c r="G56" s="19"/>
      <c r="H56" s="193"/>
      <c r="I56" s="19"/>
      <c r="J56" s="193">
        <v>2.9</v>
      </c>
      <c r="K56" s="727">
        <f t="shared" si="5"/>
        <v>1.4</v>
      </c>
      <c r="L56" s="732"/>
      <c r="M56" s="733"/>
      <c r="N56" s="734"/>
      <c r="O56" s="733"/>
      <c r="P56" s="619"/>
      <c r="Q56" s="238"/>
      <c r="R56" s="406">
        <v>0.7</v>
      </c>
      <c r="S56" s="318">
        <v>0.7</v>
      </c>
      <c r="T56" s="318">
        <v>0.7</v>
      </c>
      <c r="U56" s="437">
        <v>0.8</v>
      </c>
      <c r="V56" s="390">
        <f t="shared" si="0"/>
        <v>2.8999999999999995</v>
      </c>
      <c r="W56" s="390">
        <f t="shared" si="1"/>
        <v>0</v>
      </c>
      <c r="X56" s="390">
        <f t="shared" si="2"/>
        <v>2.8999999999999995</v>
      </c>
    </row>
    <row r="57" spans="2:24" hidden="1" x14ac:dyDescent="0.2">
      <c r="B57" s="72"/>
      <c r="C57" s="20" t="s">
        <v>198</v>
      </c>
      <c r="D57" s="193">
        <v>8.9</v>
      </c>
      <c r="E57" s="19"/>
      <c r="F57" s="193">
        <v>8.9</v>
      </c>
      <c r="G57" s="19"/>
      <c r="H57" s="193">
        <v>8.9</v>
      </c>
      <c r="I57" s="19"/>
      <c r="J57" s="193">
        <v>5.9</v>
      </c>
      <c r="K57" s="727">
        <f t="shared" si="5"/>
        <v>3</v>
      </c>
      <c r="L57" s="732"/>
      <c r="M57" s="733"/>
      <c r="N57" s="734"/>
      <c r="O57" s="733"/>
      <c r="P57" s="619"/>
      <c r="Q57" s="238"/>
      <c r="R57" s="406">
        <v>1.5</v>
      </c>
      <c r="S57" s="318">
        <v>1.5</v>
      </c>
      <c r="T57" s="318">
        <v>1.5</v>
      </c>
      <c r="U57" s="437">
        <v>1.4</v>
      </c>
      <c r="V57" s="390">
        <f t="shared" si="0"/>
        <v>5.9</v>
      </c>
      <c r="W57" s="390">
        <f t="shared" si="1"/>
        <v>0</v>
      </c>
      <c r="X57" s="390">
        <f t="shared" si="2"/>
        <v>5.9</v>
      </c>
    </row>
    <row r="58" spans="2:24" hidden="1" x14ac:dyDescent="0.2">
      <c r="B58" s="72"/>
      <c r="C58" s="20" t="s">
        <v>23</v>
      </c>
      <c r="D58" s="193">
        <v>90.6</v>
      </c>
      <c r="E58" s="19"/>
      <c r="F58" s="193">
        <v>4.9000000000000004</v>
      </c>
      <c r="G58" s="19"/>
      <c r="H58" s="193">
        <v>19.3</v>
      </c>
      <c r="I58" s="19"/>
      <c r="J58" s="193">
        <v>4.9000000000000004</v>
      </c>
      <c r="K58" s="727">
        <f t="shared" si="5"/>
        <v>2.4</v>
      </c>
      <c r="L58" s="732"/>
      <c r="M58" s="733"/>
      <c r="N58" s="734"/>
      <c r="O58" s="733"/>
      <c r="P58" s="619"/>
      <c r="Q58" s="238"/>
      <c r="R58" s="406">
        <v>1.2</v>
      </c>
      <c r="S58" s="318">
        <v>1.2</v>
      </c>
      <c r="T58" s="318">
        <v>1.2</v>
      </c>
      <c r="U58" s="437">
        <v>1.3</v>
      </c>
      <c r="V58" s="390">
        <f t="shared" si="0"/>
        <v>4.8999999999999995</v>
      </c>
      <c r="W58" s="390">
        <f t="shared" si="1"/>
        <v>0</v>
      </c>
      <c r="X58" s="390">
        <f t="shared" si="2"/>
        <v>4.8999999999999995</v>
      </c>
    </row>
    <row r="59" spans="2:24" hidden="1" x14ac:dyDescent="0.2">
      <c r="B59" s="72"/>
      <c r="C59" s="183" t="s">
        <v>151</v>
      </c>
      <c r="D59" s="254" t="e">
        <f>(D54+D55)*D153/100</f>
        <v>#REF!</v>
      </c>
      <c r="E59" s="196" t="e">
        <f>D59/12/2.868</f>
        <v>#REF!</v>
      </c>
      <c r="F59" s="184">
        <v>20.3</v>
      </c>
      <c r="G59" s="196">
        <f>F59/12/2.868</f>
        <v>0.58984193398419338</v>
      </c>
      <c r="H59" s="511">
        <v>23.86</v>
      </c>
      <c r="I59" s="196">
        <f>H59/12/2.868</f>
        <v>0.69328219432821947</v>
      </c>
      <c r="J59" s="549">
        <v>19</v>
      </c>
      <c r="K59" s="547">
        <f t="shared" si="5"/>
        <v>9.5</v>
      </c>
      <c r="L59" s="85"/>
      <c r="M59" s="547"/>
      <c r="N59" s="240"/>
      <c r="O59" s="547"/>
      <c r="P59" s="550"/>
      <c r="Q59" s="760">
        <f>J59/12/2.868</f>
        <v>0.55206880520688051</v>
      </c>
      <c r="R59" s="441">
        <v>4.7</v>
      </c>
      <c r="S59" s="442">
        <v>4.8</v>
      </c>
      <c r="T59" s="442">
        <v>4.7</v>
      </c>
      <c r="U59" s="443">
        <v>4.8</v>
      </c>
      <c r="V59" s="390">
        <f t="shared" si="0"/>
        <v>19</v>
      </c>
      <c r="W59" s="390">
        <f t="shared" si="1"/>
        <v>0</v>
      </c>
      <c r="X59" s="390">
        <f t="shared" si="2"/>
        <v>19</v>
      </c>
    </row>
    <row r="60" spans="2:24" ht="13.5" hidden="1" thickBot="1" x14ac:dyDescent="0.25">
      <c r="B60" s="29" t="s">
        <v>136</v>
      </c>
      <c r="C60" s="30" t="s">
        <v>35</v>
      </c>
      <c r="D60" s="192">
        <v>246</v>
      </c>
      <c r="E60" s="34">
        <f>D60/12/2.868</f>
        <v>7.147838214783822</v>
      </c>
      <c r="F60" s="160">
        <v>188.7</v>
      </c>
      <c r="G60" s="34">
        <f>F60/12/2.868</f>
        <v>5.4829149232914922</v>
      </c>
      <c r="H60" s="192">
        <v>335.3</v>
      </c>
      <c r="I60" s="34">
        <f>H60/12/2.868</f>
        <v>9.7425615992561596</v>
      </c>
      <c r="J60" s="508">
        <v>188.7</v>
      </c>
      <c r="K60" s="548">
        <f t="shared" si="5"/>
        <v>94.4</v>
      </c>
      <c r="L60" s="593"/>
      <c r="M60" s="587"/>
      <c r="N60" s="679"/>
      <c r="O60" s="587"/>
      <c r="P60" s="620"/>
      <c r="Q60" s="239">
        <f>J60/12/2.868</f>
        <v>5.4829149232914922</v>
      </c>
      <c r="R60" s="444">
        <v>47.2</v>
      </c>
      <c r="S60" s="445">
        <v>47.2</v>
      </c>
      <c r="T60" s="445">
        <v>47.2</v>
      </c>
      <c r="U60" s="446">
        <v>47.1</v>
      </c>
      <c r="V60" s="401">
        <f t="shared" si="0"/>
        <v>188.70000000000002</v>
      </c>
      <c r="W60" s="390">
        <f t="shared" si="1"/>
        <v>0</v>
      </c>
    </row>
    <row r="61" spans="2:24" ht="13.5" hidden="1" thickBot="1" x14ac:dyDescent="0.25">
      <c r="B61" s="22" t="s">
        <v>30</v>
      </c>
      <c r="C61" s="35" t="s">
        <v>37</v>
      </c>
      <c r="D61" s="252"/>
      <c r="E61" s="40">
        <f>D61/12/2.868</f>
        <v>0</v>
      </c>
      <c r="F61" s="81"/>
      <c r="G61" s="40">
        <f>F61/12/2.868</f>
        <v>0</v>
      </c>
      <c r="H61" s="252"/>
      <c r="I61" s="40">
        <f>H61/12/2.868</f>
        <v>0</v>
      </c>
      <c r="J61" s="83">
        <f>J62+J68</f>
        <v>0</v>
      </c>
      <c r="K61" s="245"/>
      <c r="L61" s="83"/>
      <c r="M61" s="245"/>
      <c r="N61" s="614"/>
      <c r="O61" s="245"/>
      <c r="P61" s="614"/>
      <c r="Q61" s="621">
        <f>J61/12/2.868</f>
        <v>0</v>
      </c>
      <c r="R61" s="735"/>
      <c r="S61" s="736"/>
      <c r="T61" s="736"/>
      <c r="U61" s="737"/>
      <c r="V61" s="390">
        <f t="shared" si="0"/>
        <v>0</v>
      </c>
      <c r="W61" s="390">
        <f t="shared" si="1"/>
        <v>0</v>
      </c>
    </row>
    <row r="62" spans="2:24" ht="13.5" hidden="1" thickBot="1" x14ac:dyDescent="0.25">
      <c r="B62" s="25" t="s">
        <v>32</v>
      </c>
      <c r="C62" s="38" t="s">
        <v>38</v>
      </c>
      <c r="D62" s="256"/>
      <c r="E62" s="19">
        <f>D62/12/2.868</f>
        <v>0</v>
      </c>
      <c r="F62" s="83"/>
      <c r="G62" s="19">
        <f>F62/12/2.868</f>
        <v>0</v>
      </c>
      <c r="H62" s="256"/>
      <c r="I62" s="19">
        <f>H62/12/2.868</f>
        <v>0</v>
      </c>
      <c r="J62" s="42">
        <f>SUM(J63:J67)</f>
        <v>0</v>
      </c>
      <c r="K62" s="41"/>
      <c r="L62" s="42"/>
      <c r="M62" s="41"/>
      <c r="N62" s="458"/>
      <c r="O62" s="41"/>
      <c r="P62" s="458"/>
      <c r="Q62" s="238">
        <f>J62/12/2.868</f>
        <v>0</v>
      </c>
      <c r="R62" s="281">
        <f t="shared" ref="R62:R68" si="6">J62/4</f>
        <v>0</v>
      </c>
      <c r="S62" s="87">
        <f t="shared" ref="S62:S68" si="7">J62/4</f>
        <v>0</v>
      </c>
      <c r="T62" s="87">
        <f t="shared" ref="T62:T68" si="8">J62/4</f>
        <v>0</v>
      </c>
      <c r="U62" s="88">
        <f t="shared" ref="U62:U68" si="9">J62/4</f>
        <v>0</v>
      </c>
      <c r="V62" s="390">
        <f t="shared" si="0"/>
        <v>0</v>
      </c>
      <c r="W62" s="390">
        <f t="shared" si="1"/>
        <v>0</v>
      </c>
    </row>
    <row r="63" spans="2:24" ht="13.5" hidden="1" thickBot="1" x14ac:dyDescent="0.25">
      <c r="B63" s="25"/>
      <c r="C63" s="15" t="s">
        <v>39</v>
      </c>
      <c r="D63" s="257"/>
      <c r="E63" s="19"/>
      <c r="F63" s="738"/>
      <c r="G63" s="19"/>
      <c r="H63" s="257"/>
      <c r="I63" s="19"/>
      <c r="J63" s="39"/>
      <c r="K63" s="40"/>
      <c r="L63" s="39"/>
      <c r="M63" s="40"/>
      <c r="N63" s="621"/>
      <c r="O63" s="40"/>
      <c r="P63" s="621"/>
      <c r="Q63" s="238"/>
      <c r="R63" s="281">
        <f t="shared" si="6"/>
        <v>0</v>
      </c>
      <c r="S63" s="87">
        <f t="shared" si="7"/>
        <v>0</v>
      </c>
      <c r="T63" s="87">
        <f t="shared" si="8"/>
        <v>0</v>
      </c>
      <c r="U63" s="88">
        <f t="shared" si="9"/>
        <v>0</v>
      </c>
      <c r="V63" s="390">
        <f t="shared" si="0"/>
        <v>0</v>
      </c>
      <c r="W63" s="390">
        <f t="shared" si="1"/>
        <v>0</v>
      </c>
    </row>
    <row r="64" spans="2:24" ht="13.5" hidden="1" thickBot="1" x14ac:dyDescent="0.25">
      <c r="B64" s="25"/>
      <c r="C64" s="15" t="s">
        <v>40</v>
      </c>
      <c r="D64" s="257"/>
      <c r="E64" s="19"/>
      <c r="F64" s="738"/>
      <c r="G64" s="19"/>
      <c r="H64" s="257"/>
      <c r="I64" s="19"/>
      <c r="J64" s="39"/>
      <c r="K64" s="40"/>
      <c r="L64" s="39"/>
      <c r="M64" s="40"/>
      <c r="N64" s="621"/>
      <c r="O64" s="40"/>
      <c r="P64" s="621"/>
      <c r="Q64" s="238"/>
      <c r="R64" s="281">
        <f t="shared" si="6"/>
        <v>0</v>
      </c>
      <c r="S64" s="87">
        <f t="shared" si="7"/>
        <v>0</v>
      </c>
      <c r="T64" s="87">
        <f t="shared" si="8"/>
        <v>0</v>
      </c>
      <c r="U64" s="88">
        <f t="shared" si="9"/>
        <v>0</v>
      </c>
      <c r="V64" s="390">
        <f t="shared" si="0"/>
        <v>0</v>
      </c>
      <c r="W64" s="390">
        <f t="shared" si="1"/>
        <v>0</v>
      </c>
    </row>
    <row r="65" spans="2:24" ht="13.5" hidden="1" thickBot="1" x14ac:dyDescent="0.25">
      <c r="B65" s="25"/>
      <c r="C65" s="15" t="s">
        <v>41</v>
      </c>
      <c r="D65" s="257"/>
      <c r="E65" s="19"/>
      <c r="F65" s="738"/>
      <c r="G65" s="19"/>
      <c r="H65" s="257"/>
      <c r="I65" s="19"/>
      <c r="J65" s="39"/>
      <c r="K65" s="40"/>
      <c r="L65" s="39"/>
      <c r="M65" s="40"/>
      <c r="N65" s="621"/>
      <c r="O65" s="40"/>
      <c r="P65" s="621"/>
      <c r="Q65" s="238"/>
      <c r="R65" s="281">
        <f t="shared" si="6"/>
        <v>0</v>
      </c>
      <c r="S65" s="87">
        <f t="shared" si="7"/>
        <v>0</v>
      </c>
      <c r="T65" s="87">
        <f t="shared" si="8"/>
        <v>0</v>
      </c>
      <c r="U65" s="88">
        <f t="shared" si="9"/>
        <v>0</v>
      </c>
      <c r="V65" s="390">
        <f t="shared" si="0"/>
        <v>0</v>
      </c>
      <c r="W65" s="390">
        <f t="shared" si="1"/>
        <v>0</v>
      </c>
    </row>
    <row r="66" spans="2:24" ht="13.5" hidden="1" thickBot="1" x14ac:dyDescent="0.25">
      <c r="B66" s="25"/>
      <c r="C66" s="15" t="s">
        <v>42</v>
      </c>
      <c r="D66" s="257"/>
      <c r="E66" s="19"/>
      <c r="F66" s="738"/>
      <c r="G66" s="19"/>
      <c r="H66" s="257"/>
      <c r="I66" s="19"/>
      <c r="J66" s="39"/>
      <c r="K66" s="40"/>
      <c r="L66" s="39"/>
      <c r="M66" s="40"/>
      <c r="N66" s="621"/>
      <c r="O66" s="40"/>
      <c r="P66" s="621"/>
      <c r="Q66" s="238"/>
      <c r="R66" s="281">
        <f t="shared" si="6"/>
        <v>0</v>
      </c>
      <c r="S66" s="87">
        <f t="shared" si="7"/>
        <v>0</v>
      </c>
      <c r="T66" s="87">
        <f t="shared" si="8"/>
        <v>0</v>
      </c>
      <c r="U66" s="88">
        <f t="shared" si="9"/>
        <v>0</v>
      </c>
      <c r="V66" s="390">
        <f t="shared" si="0"/>
        <v>0</v>
      </c>
      <c r="W66" s="390">
        <f t="shared" si="1"/>
        <v>0</v>
      </c>
    </row>
    <row r="67" spans="2:24" ht="13.5" hidden="1" thickBot="1" x14ac:dyDescent="0.25">
      <c r="B67" s="25"/>
      <c r="C67" s="15" t="s">
        <v>43</v>
      </c>
      <c r="D67" s="257"/>
      <c r="E67" s="19"/>
      <c r="F67" s="738"/>
      <c r="G67" s="19"/>
      <c r="H67" s="257"/>
      <c r="I67" s="19"/>
      <c r="J67" s="39"/>
      <c r="K67" s="40"/>
      <c r="L67" s="39"/>
      <c r="M67" s="40"/>
      <c r="N67" s="621"/>
      <c r="O67" s="40"/>
      <c r="P67" s="621"/>
      <c r="Q67" s="238"/>
      <c r="R67" s="281">
        <f t="shared" si="6"/>
        <v>0</v>
      </c>
      <c r="S67" s="87">
        <f t="shared" si="7"/>
        <v>0</v>
      </c>
      <c r="T67" s="87">
        <f t="shared" si="8"/>
        <v>0</v>
      </c>
      <c r="U67" s="88">
        <f t="shared" si="9"/>
        <v>0</v>
      </c>
      <c r="V67" s="390">
        <f t="shared" si="0"/>
        <v>0</v>
      </c>
      <c r="W67" s="390">
        <f t="shared" si="1"/>
        <v>0</v>
      </c>
    </row>
    <row r="68" spans="2:24" ht="13.5" hidden="1" thickBot="1" x14ac:dyDescent="0.25">
      <c r="B68" s="113" t="s">
        <v>34</v>
      </c>
      <c r="C68" s="108" t="s">
        <v>24</v>
      </c>
      <c r="D68" s="254"/>
      <c r="E68" s="161">
        <f>D68/12/2.868</f>
        <v>0</v>
      </c>
      <c r="F68" s="84"/>
      <c r="G68" s="161">
        <f>F68/12/2.868</f>
        <v>0</v>
      </c>
      <c r="H68" s="254"/>
      <c r="I68" s="161">
        <f>H68/12/2.868</f>
        <v>0</v>
      </c>
      <c r="J68" s="56"/>
      <c r="K68" s="152"/>
      <c r="L68" s="56"/>
      <c r="M68" s="152"/>
      <c r="N68" s="622"/>
      <c r="O68" s="152"/>
      <c r="P68" s="622"/>
      <c r="Q68" s="761">
        <f>J68/12/2.868</f>
        <v>0</v>
      </c>
      <c r="R68" s="413">
        <f t="shared" si="6"/>
        <v>0</v>
      </c>
      <c r="S68" s="115">
        <f t="shared" si="7"/>
        <v>0</v>
      </c>
      <c r="T68" s="115">
        <f t="shared" si="8"/>
        <v>0</v>
      </c>
      <c r="U68" s="122">
        <f t="shared" si="9"/>
        <v>0</v>
      </c>
      <c r="V68" s="390">
        <f t="shared" si="0"/>
        <v>0</v>
      </c>
      <c r="W68" s="390">
        <f t="shared" si="1"/>
        <v>0</v>
      </c>
    </row>
    <row r="69" spans="2:24" ht="13.5" thickBot="1" x14ac:dyDescent="0.25">
      <c r="B69" s="118" t="s">
        <v>36</v>
      </c>
      <c r="C69" s="119" t="s">
        <v>45</v>
      </c>
      <c r="D69" s="121">
        <v>14.9</v>
      </c>
      <c r="E69" s="194">
        <f>D69/12/2.868</f>
        <v>0.43293816829381687</v>
      </c>
      <c r="F69" s="112">
        <v>11.5</v>
      </c>
      <c r="G69" s="194">
        <f>F69/12/2.868</f>
        <v>0.33414690841469086</v>
      </c>
      <c r="H69" s="121">
        <v>18.8</v>
      </c>
      <c r="I69" s="194">
        <f>H69/12/2.868</f>
        <v>0.54625755462575543</v>
      </c>
      <c r="J69" s="121">
        <v>11.5</v>
      </c>
      <c r="K69" s="668">
        <v>11.5</v>
      </c>
      <c r="L69" s="176"/>
      <c r="M69" s="668">
        <v>17.100000000000001</v>
      </c>
      <c r="N69" s="449"/>
      <c r="O69" s="700">
        <f>M69/K69</f>
        <v>1.4869565217391305</v>
      </c>
      <c r="P69" s="669"/>
      <c r="Q69" s="759">
        <f>J69/12/2.868</f>
        <v>0.33414690841469086</v>
      </c>
      <c r="R69" s="447">
        <v>2.8</v>
      </c>
      <c r="S69" s="448">
        <v>2.9</v>
      </c>
      <c r="T69" s="448">
        <v>2.9</v>
      </c>
      <c r="U69" s="449">
        <v>2.9</v>
      </c>
      <c r="V69" s="395">
        <f t="shared" si="0"/>
        <v>11.5</v>
      </c>
      <c r="W69" s="390">
        <f t="shared" si="1"/>
        <v>0</v>
      </c>
      <c r="X69" s="503">
        <f t="shared" ref="X69:X78" si="10">R69+S69+T69+U69</f>
        <v>11.5</v>
      </c>
    </row>
    <row r="70" spans="2:24" ht="13.5" thickBot="1" x14ac:dyDescent="0.25">
      <c r="B70" s="22" t="s">
        <v>44</v>
      </c>
      <c r="C70" s="23" t="s">
        <v>47</v>
      </c>
      <c r="D70" s="258" t="e">
        <f>D71+D78</f>
        <v>#REF!</v>
      </c>
      <c r="E70" s="40" t="e">
        <f>D70/12/2.868</f>
        <v>#REF!</v>
      </c>
      <c r="F70" s="83">
        <f>F71+F78</f>
        <v>517.29999999999995</v>
      </c>
      <c r="G70" s="40">
        <f>F70/12/2.868</f>
        <v>15.030799628079961</v>
      </c>
      <c r="H70" s="258">
        <f>H71+H78</f>
        <v>343.33</v>
      </c>
      <c r="I70" s="40">
        <f>H70/12/2.868</f>
        <v>9.9758833100883315</v>
      </c>
      <c r="J70" s="86">
        <f>J71+J78</f>
        <v>575.6</v>
      </c>
      <c r="K70" s="666">
        <v>575.6</v>
      </c>
      <c r="L70" s="86"/>
      <c r="M70" s="666">
        <v>428.6</v>
      </c>
      <c r="N70" s="452"/>
      <c r="O70" s="700">
        <f>M70/K70</f>
        <v>0.74461431549687285</v>
      </c>
      <c r="P70" s="452"/>
      <c r="Q70" s="621">
        <f>J70/12/2.868</f>
        <v>16.72477917247792</v>
      </c>
      <c r="R70" s="450">
        <f>R71+R78</f>
        <v>144</v>
      </c>
      <c r="S70" s="451">
        <f>S71+S78</f>
        <v>143.79999999999998</v>
      </c>
      <c r="T70" s="451">
        <f>T71+T78</f>
        <v>144.1</v>
      </c>
      <c r="U70" s="452">
        <f>U71+U78</f>
        <v>143.69999999999999</v>
      </c>
      <c r="V70" s="401">
        <f t="shared" si="0"/>
        <v>575.59999999999991</v>
      </c>
      <c r="W70" s="390">
        <f t="shared" si="1"/>
        <v>0</v>
      </c>
      <c r="X70" s="503">
        <f t="shared" si="10"/>
        <v>575.59999999999991</v>
      </c>
    </row>
    <row r="71" spans="2:24" hidden="1" x14ac:dyDescent="0.2">
      <c r="B71" s="14" t="s">
        <v>137</v>
      </c>
      <c r="C71" s="38" t="s">
        <v>38</v>
      </c>
      <c r="D71" s="256">
        <f>D72+D73+D75+D76+D77</f>
        <v>271.8</v>
      </c>
      <c r="E71" s="19">
        <f>D71/12/2.868</f>
        <v>7.8974895397489551</v>
      </c>
      <c r="F71" s="83">
        <f>F72+F73+F75+F76+F77</f>
        <v>356</v>
      </c>
      <c r="G71" s="19">
        <f>F71/12/2.868</f>
        <v>10.344026034402605</v>
      </c>
      <c r="H71" s="256">
        <f>H72+H73+H75+H76+H77</f>
        <v>248.2</v>
      </c>
      <c r="I71" s="19">
        <f>H71/12/2.868</f>
        <v>7.2117619711761973</v>
      </c>
      <c r="J71" s="42">
        <f>SUM(J72:J77)</f>
        <v>421</v>
      </c>
      <c r="K71" s="547">
        <f t="shared" ref="K71:K78" si="11">R71+S71</f>
        <v>210.5</v>
      </c>
      <c r="L71" s="86"/>
      <c r="M71" s="666"/>
      <c r="N71" s="452"/>
      <c r="O71" s="666"/>
      <c r="P71" s="458"/>
      <c r="Q71" s="233">
        <f>J71/12/2.868</f>
        <v>12.232682473268248</v>
      </c>
      <c r="R71" s="585">
        <f>R72+R73+R74+R75+R76+R77</f>
        <v>105.3</v>
      </c>
      <c r="S71" s="586">
        <f>S72+S73+S74+S75+S76+S77</f>
        <v>105.19999999999999</v>
      </c>
      <c r="T71" s="318">
        <f>T72+T73+T74+T75+T76+T77</f>
        <v>105.39999999999999</v>
      </c>
      <c r="U71" s="236">
        <f>U72+U73+U74+U75+U76+U77</f>
        <v>105.1</v>
      </c>
      <c r="V71" s="390">
        <f t="shared" si="0"/>
        <v>421</v>
      </c>
      <c r="W71" s="390">
        <f t="shared" si="1"/>
        <v>0</v>
      </c>
      <c r="X71" s="503">
        <f t="shared" si="10"/>
        <v>421</v>
      </c>
    </row>
    <row r="72" spans="2:24" hidden="1" x14ac:dyDescent="0.2">
      <c r="B72" s="25"/>
      <c r="C72" s="15" t="s">
        <v>39</v>
      </c>
      <c r="D72" s="257">
        <v>121.7</v>
      </c>
      <c r="E72" s="19"/>
      <c r="F72" s="738">
        <v>124.8</v>
      </c>
      <c r="G72" s="19"/>
      <c r="H72" s="257">
        <v>92.4</v>
      </c>
      <c r="I72" s="19"/>
      <c r="J72" s="39">
        <f>151.8</f>
        <v>151.80000000000001</v>
      </c>
      <c r="K72" s="727">
        <f t="shared" si="11"/>
        <v>75.8</v>
      </c>
      <c r="L72" s="738"/>
      <c r="M72" s="739"/>
      <c r="N72" s="740"/>
      <c r="O72" s="739"/>
      <c r="P72" s="621"/>
      <c r="Q72" s="238"/>
      <c r="R72" s="406">
        <v>37.9</v>
      </c>
      <c r="S72" s="319">
        <v>37.9</v>
      </c>
      <c r="T72" s="319">
        <v>38</v>
      </c>
      <c r="U72" s="320">
        <v>38</v>
      </c>
      <c r="V72" s="390">
        <f t="shared" si="0"/>
        <v>151.80000000000001</v>
      </c>
      <c r="W72" s="390">
        <f t="shared" si="1"/>
        <v>0</v>
      </c>
      <c r="X72" s="503">
        <f t="shared" si="10"/>
        <v>151.80000000000001</v>
      </c>
    </row>
    <row r="73" spans="2:24" hidden="1" x14ac:dyDescent="0.2">
      <c r="B73" s="25"/>
      <c r="C73" s="15" t="s">
        <v>40</v>
      </c>
      <c r="D73" s="257">
        <v>3</v>
      </c>
      <c r="E73" s="19"/>
      <c r="F73" s="738">
        <v>25</v>
      </c>
      <c r="G73" s="19"/>
      <c r="H73" s="257">
        <v>4.0999999999999996</v>
      </c>
      <c r="I73" s="19"/>
      <c r="J73" s="39">
        <v>45.5</v>
      </c>
      <c r="K73" s="727">
        <f t="shared" si="11"/>
        <v>22.8</v>
      </c>
      <c r="L73" s="738"/>
      <c r="M73" s="739"/>
      <c r="N73" s="740"/>
      <c r="O73" s="739"/>
      <c r="P73" s="621"/>
      <c r="Q73" s="238"/>
      <c r="R73" s="406">
        <v>11.4</v>
      </c>
      <c r="S73" s="319">
        <v>11.4</v>
      </c>
      <c r="T73" s="319">
        <v>11.4</v>
      </c>
      <c r="U73" s="320">
        <v>11.3</v>
      </c>
      <c r="V73" s="390">
        <f t="shared" si="0"/>
        <v>45.5</v>
      </c>
      <c r="W73" s="390">
        <f t="shared" si="1"/>
        <v>0</v>
      </c>
      <c r="X73" s="503">
        <f t="shared" si="10"/>
        <v>45.5</v>
      </c>
    </row>
    <row r="74" spans="2:24" hidden="1" x14ac:dyDescent="0.2">
      <c r="B74" s="25"/>
      <c r="C74" s="15" t="s">
        <v>194</v>
      </c>
      <c r="D74" s="257"/>
      <c r="E74" s="19"/>
      <c r="F74" s="738"/>
      <c r="G74" s="19"/>
      <c r="H74" s="257"/>
      <c r="I74" s="19"/>
      <c r="J74" s="39">
        <v>24</v>
      </c>
      <c r="K74" s="727">
        <f t="shared" si="11"/>
        <v>12</v>
      </c>
      <c r="L74" s="738"/>
      <c r="M74" s="739"/>
      <c r="N74" s="740"/>
      <c r="O74" s="739"/>
      <c r="P74" s="621"/>
      <c r="Q74" s="238"/>
      <c r="R74" s="406">
        <f>J74/4</f>
        <v>6</v>
      </c>
      <c r="S74" s="319">
        <f>J74/4</f>
        <v>6</v>
      </c>
      <c r="T74" s="319">
        <f>J74/4</f>
        <v>6</v>
      </c>
      <c r="U74" s="320">
        <f>J74/4</f>
        <v>6</v>
      </c>
      <c r="V74" s="390">
        <f t="shared" ref="V74:V105" si="12">SUM(R74:U74)</f>
        <v>24</v>
      </c>
      <c r="W74" s="390">
        <f t="shared" ref="W74:W97" si="13">V74-J74</f>
        <v>0</v>
      </c>
      <c r="X74" s="503">
        <f t="shared" si="10"/>
        <v>24</v>
      </c>
    </row>
    <row r="75" spans="2:24" hidden="1" x14ac:dyDescent="0.2">
      <c r="B75" s="25"/>
      <c r="C75" s="15" t="s">
        <v>199</v>
      </c>
      <c r="D75" s="257">
        <v>38.6</v>
      </c>
      <c r="E75" s="19"/>
      <c r="F75" s="738">
        <v>55.1</v>
      </c>
      <c r="G75" s="19"/>
      <c r="H75" s="257">
        <v>26.4</v>
      </c>
      <c r="I75" s="19"/>
      <c r="J75" s="39">
        <v>48.7</v>
      </c>
      <c r="K75" s="727">
        <f t="shared" si="11"/>
        <v>24.4</v>
      </c>
      <c r="L75" s="738"/>
      <c r="M75" s="739"/>
      <c r="N75" s="740"/>
      <c r="O75" s="739"/>
      <c r="P75" s="621"/>
      <c r="Q75" s="238"/>
      <c r="R75" s="406">
        <v>12.2</v>
      </c>
      <c r="S75" s="319">
        <v>12.2</v>
      </c>
      <c r="T75" s="319">
        <v>12.2</v>
      </c>
      <c r="U75" s="320">
        <v>12.1</v>
      </c>
      <c r="V75" s="390">
        <f t="shared" si="12"/>
        <v>48.699999999999996</v>
      </c>
      <c r="W75" s="390">
        <f t="shared" si="13"/>
        <v>0</v>
      </c>
      <c r="X75" s="503">
        <f t="shared" si="10"/>
        <v>48.699999999999996</v>
      </c>
    </row>
    <row r="76" spans="2:24" hidden="1" x14ac:dyDescent="0.2">
      <c r="B76" s="25"/>
      <c r="C76" s="15" t="s">
        <v>42</v>
      </c>
      <c r="D76" s="257">
        <v>107.8</v>
      </c>
      <c r="E76" s="19"/>
      <c r="F76" s="738">
        <f>148.2+2.3</f>
        <v>150.5</v>
      </c>
      <c r="G76" s="19"/>
      <c r="H76" s="257">
        <v>123.8</v>
      </c>
      <c r="I76" s="19"/>
      <c r="J76" s="39">
        <v>150.4</v>
      </c>
      <c r="K76" s="727">
        <f t="shared" si="11"/>
        <v>75.2</v>
      </c>
      <c r="L76" s="738"/>
      <c r="M76" s="739"/>
      <c r="N76" s="740"/>
      <c r="O76" s="739"/>
      <c r="P76" s="621"/>
      <c r="Q76" s="238"/>
      <c r="R76" s="406">
        <v>37.6</v>
      </c>
      <c r="S76" s="319">
        <v>37.6</v>
      </c>
      <c r="T76" s="319">
        <v>37.6</v>
      </c>
      <c r="U76" s="320">
        <v>37.6</v>
      </c>
      <c r="V76" s="390">
        <f t="shared" si="12"/>
        <v>150.4</v>
      </c>
      <c r="W76" s="390">
        <f t="shared" si="13"/>
        <v>0</v>
      </c>
      <c r="X76" s="503">
        <f t="shared" si="10"/>
        <v>150.4</v>
      </c>
    </row>
    <row r="77" spans="2:24" hidden="1" x14ac:dyDescent="0.2">
      <c r="B77" s="16"/>
      <c r="C77" s="15" t="s">
        <v>43</v>
      </c>
      <c r="D77" s="257">
        <v>0.7</v>
      </c>
      <c r="E77" s="19"/>
      <c r="F77" s="738">
        <v>0.6</v>
      </c>
      <c r="G77" s="19"/>
      <c r="H77" s="257">
        <v>1.5</v>
      </c>
      <c r="I77" s="19"/>
      <c r="J77" s="39">
        <v>0.6</v>
      </c>
      <c r="K77" s="727">
        <f t="shared" si="11"/>
        <v>0.30000000000000004</v>
      </c>
      <c r="L77" s="738"/>
      <c r="M77" s="739"/>
      <c r="N77" s="740"/>
      <c r="O77" s="739"/>
      <c r="P77" s="621"/>
      <c r="Q77" s="238"/>
      <c r="R77" s="406">
        <v>0.2</v>
      </c>
      <c r="S77" s="319">
        <v>0.1</v>
      </c>
      <c r="T77" s="319">
        <v>0.2</v>
      </c>
      <c r="U77" s="320">
        <v>0.1</v>
      </c>
      <c r="V77" s="390">
        <f t="shared" si="12"/>
        <v>0.6</v>
      </c>
      <c r="W77" s="390">
        <f t="shared" si="13"/>
        <v>0</v>
      </c>
      <c r="X77" s="503">
        <f t="shared" si="10"/>
        <v>0.6</v>
      </c>
    </row>
    <row r="78" spans="2:24" ht="13.5" hidden="1" thickBot="1" x14ac:dyDescent="0.25">
      <c r="B78" s="113" t="s">
        <v>138</v>
      </c>
      <c r="C78" s="108" t="s">
        <v>50</v>
      </c>
      <c r="D78" s="259" t="e">
        <f>(D72+D73)*D153/100</f>
        <v>#REF!</v>
      </c>
      <c r="E78" s="186" t="e">
        <f>D78/12/2.868</f>
        <v>#REF!</v>
      </c>
      <c r="F78" s="185">
        <v>161.30000000000001</v>
      </c>
      <c r="G78" s="186">
        <f>F78/12/2.868</f>
        <v>4.6867735936773602</v>
      </c>
      <c r="H78" s="259">
        <v>95.13</v>
      </c>
      <c r="I78" s="186">
        <f>H78/12/2.868</f>
        <v>2.7641213389121337</v>
      </c>
      <c r="J78" s="507">
        <v>154.6</v>
      </c>
      <c r="K78" s="547">
        <f t="shared" si="11"/>
        <v>77.300000000000011</v>
      </c>
      <c r="L78" s="595"/>
      <c r="M78" s="667"/>
      <c r="N78" s="680"/>
      <c r="O78" s="667"/>
      <c r="P78" s="623"/>
      <c r="Q78" s="762">
        <f>J78/12/2.868</f>
        <v>4.4920966992096698</v>
      </c>
      <c r="R78" s="453">
        <v>38.700000000000003</v>
      </c>
      <c r="S78" s="454">
        <v>38.6</v>
      </c>
      <c r="T78" s="454">
        <v>38.700000000000003</v>
      </c>
      <c r="U78" s="455">
        <v>38.6</v>
      </c>
      <c r="V78" s="390">
        <f t="shared" si="12"/>
        <v>154.60000000000002</v>
      </c>
      <c r="W78" s="390">
        <f t="shared" si="13"/>
        <v>0</v>
      </c>
      <c r="X78" s="503">
        <f t="shared" si="10"/>
        <v>154.60000000000002</v>
      </c>
    </row>
    <row r="79" spans="2:24" x14ac:dyDescent="0.2">
      <c r="B79" s="6" t="s">
        <v>46</v>
      </c>
      <c r="C79" s="7" t="s">
        <v>52</v>
      </c>
      <c r="D79" s="260"/>
      <c r="E79" s="105"/>
      <c r="F79" s="81"/>
      <c r="G79" s="105"/>
      <c r="H79" s="260"/>
      <c r="I79" s="105"/>
      <c r="J79" s="37"/>
      <c r="K79" s="36"/>
      <c r="L79" s="37"/>
      <c r="M79" s="36"/>
      <c r="N79" s="624"/>
      <c r="O79" s="36"/>
      <c r="P79" s="624"/>
      <c r="Q79" s="672"/>
      <c r="R79" s="282"/>
      <c r="S79" s="123"/>
      <c r="T79" s="123"/>
      <c r="U79" s="124"/>
      <c r="V79" s="390">
        <f t="shared" si="12"/>
        <v>0</v>
      </c>
      <c r="W79" s="390">
        <f t="shared" si="13"/>
        <v>0</v>
      </c>
      <c r="X79" s="503"/>
    </row>
    <row r="80" spans="2:24" ht="13.5" thickBot="1" x14ac:dyDescent="0.25">
      <c r="B80" s="103"/>
      <c r="C80" s="198" t="s">
        <v>53</v>
      </c>
      <c r="D80" s="686" t="e">
        <f>D81+D88</f>
        <v>#REF!</v>
      </c>
      <c r="E80" s="34" t="e">
        <f>D80/12/2.868</f>
        <v>#REF!</v>
      </c>
      <c r="F80" s="107">
        <f>F81+F88</f>
        <v>565.53</v>
      </c>
      <c r="G80" s="34">
        <f>F80/12/2.868</f>
        <v>16.432182705718269</v>
      </c>
      <c r="H80" s="686">
        <f>H81+H88</f>
        <v>563.16000000000008</v>
      </c>
      <c r="I80" s="34">
        <f>H80/12/2.868</f>
        <v>16.363319386331941</v>
      </c>
      <c r="J80" s="592">
        <f>J81+J88</f>
        <v>551.9</v>
      </c>
      <c r="K80" s="548">
        <v>551.9</v>
      </c>
      <c r="L80" s="592"/>
      <c r="M80" s="548">
        <v>566.20000000000005</v>
      </c>
      <c r="N80" s="478"/>
      <c r="O80" s="751">
        <f>M80/K80</f>
        <v>1.025910491030984</v>
      </c>
      <c r="P80" s="478"/>
      <c r="Q80" s="238">
        <f>J80/12/2.868</f>
        <v>16.036145978614599</v>
      </c>
      <c r="R80" s="412">
        <f>R81+R88</f>
        <v>138.1</v>
      </c>
      <c r="S80" s="331">
        <f>S81+S88</f>
        <v>137.9</v>
      </c>
      <c r="T80" s="331">
        <f>T81+T88</f>
        <v>138</v>
      </c>
      <c r="U80" s="337">
        <f>U81+U88</f>
        <v>137.9</v>
      </c>
      <c r="V80" s="395">
        <f t="shared" si="12"/>
        <v>551.9</v>
      </c>
      <c r="W80" s="390">
        <f t="shared" si="13"/>
        <v>0</v>
      </c>
      <c r="X80" s="503">
        <f t="shared" ref="X80:X89" si="14">R80+S80+T80+U80</f>
        <v>551.9</v>
      </c>
    </row>
    <row r="81" spans="2:24" hidden="1" x14ac:dyDescent="0.2">
      <c r="B81" s="8" t="s">
        <v>48</v>
      </c>
      <c r="C81" s="131" t="s">
        <v>54</v>
      </c>
      <c r="D81" s="256">
        <f>D82+D83+D85+D86+D87</f>
        <v>280.90000000000003</v>
      </c>
      <c r="E81" s="40">
        <f>D81/12/2.868</f>
        <v>8.1619014411901443</v>
      </c>
      <c r="F81" s="86">
        <f>F82+F83+F85+F86+F87</f>
        <v>363.63</v>
      </c>
      <c r="G81" s="40">
        <f>F81/12/2.868</f>
        <v>10.565725244072524</v>
      </c>
      <c r="H81" s="256">
        <f>H82+H83+H85+H86+H87</f>
        <v>337.40000000000003</v>
      </c>
      <c r="I81" s="40">
        <f>H81/12/2.868</f>
        <v>9.8035797303579741</v>
      </c>
      <c r="J81" s="42">
        <f>SUM(J82:J87)</f>
        <v>363.5</v>
      </c>
      <c r="K81" s="41">
        <f>SUM(K82:K87)</f>
        <v>181.8</v>
      </c>
      <c r="L81" s="42"/>
      <c r="M81" s="41"/>
      <c r="N81" s="458"/>
      <c r="O81" s="41"/>
      <c r="P81" s="458"/>
      <c r="Q81" s="621">
        <f>J81/12/2.868</f>
        <v>10.561947931194794</v>
      </c>
      <c r="R81" s="456">
        <f>R82+R83+R84+R85+R86+R87</f>
        <v>91</v>
      </c>
      <c r="S81" s="457">
        <f>S82+S83+S84+S85+S86+S87</f>
        <v>90.8</v>
      </c>
      <c r="T81" s="457">
        <f>T82+T83+T84+T85+T86+T87</f>
        <v>90.9</v>
      </c>
      <c r="U81" s="458">
        <f>U82+U83+U84+U85+U86+U87</f>
        <v>90.8</v>
      </c>
      <c r="V81" s="390">
        <f t="shared" si="12"/>
        <v>363.50000000000006</v>
      </c>
      <c r="W81" s="390">
        <f t="shared" si="13"/>
        <v>0</v>
      </c>
      <c r="X81" s="503">
        <f t="shared" si="14"/>
        <v>363.50000000000006</v>
      </c>
    </row>
    <row r="82" spans="2:24" hidden="1" x14ac:dyDescent="0.2">
      <c r="B82" s="21"/>
      <c r="C82" s="15" t="s">
        <v>55</v>
      </c>
      <c r="D82" s="257">
        <v>164.1</v>
      </c>
      <c r="E82" s="19"/>
      <c r="F82" s="738">
        <v>185.03</v>
      </c>
      <c r="G82" s="19"/>
      <c r="H82" s="257">
        <v>205.4</v>
      </c>
      <c r="I82" s="19"/>
      <c r="J82" s="39">
        <f>185</f>
        <v>185</v>
      </c>
      <c r="K82" s="727">
        <f t="shared" ref="K82:K88" si="15">R82+S82</f>
        <v>92.5</v>
      </c>
      <c r="L82" s="738"/>
      <c r="M82" s="739"/>
      <c r="N82" s="740"/>
      <c r="O82" s="739"/>
      <c r="P82" s="621"/>
      <c r="Q82" s="238"/>
      <c r="R82" s="406">
        <v>46.3</v>
      </c>
      <c r="S82" s="319">
        <v>46.2</v>
      </c>
      <c r="T82" s="319">
        <v>46.2</v>
      </c>
      <c r="U82" s="320">
        <v>46.3</v>
      </c>
      <c r="V82" s="390">
        <f t="shared" si="12"/>
        <v>185</v>
      </c>
      <c r="W82" s="390">
        <f t="shared" si="13"/>
        <v>0</v>
      </c>
      <c r="X82" s="503">
        <f t="shared" si="14"/>
        <v>185</v>
      </c>
    </row>
    <row r="83" spans="2:24" hidden="1" x14ac:dyDescent="0.2">
      <c r="B83" s="21"/>
      <c r="C83" s="15" t="s">
        <v>56</v>
      </c>
      <c r="D83" s="257">
        <v>18.8</v>
      </c>
      <c r="E83" s="19"/>
      <c r="F83" s="738">
        <v>55.5</v>
      </c>
      <c r="G83" s="19"/>
      <c r="H83" s="257">
        <v>23.6</v>
      </c>
      <c r="I83" s="19"/>
      <c r="J83" s="39">
        <v>55.5</v>
      </c>
      <c r="K83" s="727">
        <f t="shared" si="15"/>
        <v>27.8</v>
      </c>
      <c r="L83" s="738"/>
      <c r="M83" s="739"/>
      <c r="N83" s="740"/>
      <c r="O83" s="739"/>
      <c r="P83" s="621"/>
      <c r="Q83" s="238"/>
      <c r="R83" s="406">
        <v>13.9</v>
      </c>
      <c r="S83" s="319">
        <v>13.9</v>
      </c>
      <c r="T83" s="319">
        <v>13.9</v>
      </c>
      <c r="U83" s="320">
        <v>13.8</v>
      </c>
      <c r="V83" s="390">
        <f t="shared" si="12"/>
        <v>55.5</v>
      </c>
      <c r="W83" s="390">
        <f t="shared" si="13"/>
        <v>0</v>
      </c>
      <c r="X83" s="503">
        <f t="shared" si="14"/>
        <v>55.5</v>
      </c>
    </row>
    <row r="84" spans="2:24" hidden="1" x14ac:dyDescent="0.2">
      <c r="B84" s="21"/>
      <c r="C84" s="15" t="s">
        <v>194</v>
      </c>
      <c r="D84" s="257"/>
      <c r="E84" s="19"/>
      <c r="F84" s="738"/>
      <c r="G84" s="19"/>
      <c r="H84" s="257"/>
      <c r="I84" s="19"/>
      <c r="J84" s="39">
        <v>29</v>
      </c>
      <c r="K84" s="727">
        <f t="shared" si="15"/>
        <v>14.5</v>
      </c>
      <c r="L84" s="738"/>
      <c r="M84" s="739"/>
      <c r="N84" s="740"/>
      <c r="O84" s="739"/>
      <c r="P84" s="621"/>
      <c r="Q84" s="238"/>
      <c r="R84" s="406">
        <v>7.3</v>
      </c>
      <c r="S84" s="319">
        <v>7.2</v>
      </c>
      <c r="T84" s="319">
        <v>7.3</v>
      </c>
      <c r="U84" s="320">
        <v>7.2</v>
      </c>
      <c r="V84" s="390">
        <f t="shared" si="12"/>
        <v>29</v>
      </c>
      <c r="W84" s="390">
        <f t="shared" si="13"/>
        <v>0</v>
      </c>
      <c r="X84" s="503">
        <f t="shared" si="14"/>
        <v>29</v>
      </c>
    </row>
    <row r="85" spans="2:24" hidden="1" x14ac:dyDescent="0.2">
      <c r="B85" s="21"/>
      <c r="C85" s="15" t="s">
        <v>200</v>
      </c>
      <c r="D85" s="257">
        <v>67.099999999999994</v>
      </c>
      <c r="E85" s="19"/>
      <c r="F85" s="738">
        <v>88.4</v>
      </c>
      <c r="G85" s="19"/>
      <c r="H85" s="257">
        <v>83.8</v>
      </c>
      <c r="I85" s="19"/>
      <c r="J85" s="39">
        <v>59.3</v>
      </c>
      <c r="K85" s="727">
        <f t="shared" si="15"/>
        <v>29.6</v>
      </c>
      <c r="L85" s="738"/>
      <c r="M85" s="739"/>
      <c r="N85" s="740"/>
      <c r="O85" s="739"/>
      <c r="P85" s="621"/>
      <c r="Q85" s="238"/>
      <c r="R85" s="406">
        <v>14.8</v>
      </c>
      <c r="S85" s="319">
        <v>14.8</v>
      </c>
      <c r="T85" s="319">
        <v>14.8</v>
      </c>
      <c r="U85" s="320">
        <v>14.9</v>
      </c>
      <c r="V85" s="390">
        <f t="shared" si="12"/>
        <v>59.300000000000004</v>
      </c>
      <c r="W85" s="390">
        <f t="shared" si="13"/>
        <v>0</v>
      </c>
      <c r="X85" s="503">
        <f t="shared" si="14"/>
        <v>59.300000000000004</v>
      </c>
    </row>
    <row r="86" spans="2:24" hidden="1" x14ac:dyDescent="0.2">
      <c r="B86" s="21"/>
      <c r="C86" s="15" t="s">
        <v>57</v>
      </c>
      <c r="D86" s="257">
        <v>30.3</v>
      </c>
      <c r="E86" s="19"/>
      <c r="F86" s="738">
        <v>34.700000000000003</v>
      </c>
      <c r="G86" s="19"/>
      <c r="H86" s="257">
        <v>24.6</v>
      </c>
      <c r="I86" s="19"/>
      <c r="J86" s="39">
        <v>34.700000000000003</v>
      </c>
      <c r="K86" s="727">
        <f t="shared" si="15"/>
        <v>17.399999999999999</v>
      </c>
      <c r="L86" s="738"/>
      <c r="M86" s="739"/>
      <c r="N86" s="740"/>
      <c r="O86" s="739"/>
      <c r="P86" s="621"/>
      <c r="Q86" s="238"/>
      <c r="R86" s="406">
        <v>8.6999999999999993</v>
      </c>
      <c r="S86" s="319">
        <v>8.6999999999999993</v>
      </c>
      <c r="T86" s="319">
        <v>8.6999999999999993</v>
      </c>
      <c r="U86" s="320">
        <v>8.6</v>
      </c>
      <c r="V86" s="390">
        <f t="shared" si="12"/>
        <v>34.699999999999996</v>
      </c>
      <c r="W86" s="390">
        <f t="shared" si="13"/>
        <v>0</v>
      </c>
      <c r="X86" s="503">
        <f t="shared" si="14"/>
        <v>34.699999999999996</v>
      </c>
    </row>
    <row r="87" spans="2:24" hidden="1" x14ac:dyDescent="0.2">
      <c r="B87" s="25"/>
      <c r="C87" s="15" t="s">
        <v>58</v>
      </c>
      <c r="D87" s="257">
        <v>0.6</v>
      </c>
      <c r="E87" s="19"/>
      <c r="F87" s="738"/>
      <c r="G87" s="19"/>
      <c r="H87" s="257"/>
      <c r="I87" s="19"/>
      <c r="J87" s="39"/>
      <c r="K87" s="727">
        <f t="shared" si="15"/>
        <v>0</v>
      </c>
      <c r="L87" s="738"/>
      <c r="M87" s="739"/>
      <c r="N87" s="740"/>
      <c r="O87" s="739"/>
      <c r="P87" s="621"/>
      <c r="Q87" s="238"/>
      <c r="R87" s="406">
        <f>J87/4</f>
        <v>0</v>
      </c>
      <c r="S87" s="319">
        <f>J87/4</f>
        <v>0</v>
      </c>
      <c r="T87" s="319">
        <f>J87/4</f>
        <v>0</v>
      </c>
      <c r="U87" s="320">
        <f>J87/4</f>
        <v>0</v>
      </c>
      <c r="V87" s="390">
        <f t="shared" si="12"/>
        <v>0</v>
      </c>
      <c r="W87" s="390">
        <f t="shared" si="13"/>
        <v>0</v>
      </c>
      <c r="X87" s="503">
        <f t="shared" si="14"/>
        <v>0</v>
      </c>
    </row>
    <row r="88" spans="2:24" ht="13.5" hidden="1" thickBot="1" x14ac:dyDescent="0.25">
      <c r="B88" s="103" t="s">
        <v>49</v>
      </c>
      <c r="C88" s="125" t="s">
        <v>59</v>
      </c>
      <c r="D88" s="261" t="e">
        <f>(D82+D83)*D153/100</f>
        <v>#REF!</v>
      </c>
      <c r="E88" s="188" t="e">
        <f>D88/12/2.868</f>
        <v>#REF!</v>
      </c>
      <c r="F88" s="187">
        <v>201.9</v>
      </c>
      <c r="G88" s="188">
        <f>F88/12/2.868</f>
        <v>5.8664574616457461</v>
      </c>
      <c r="H88" s="512">
        <v>225.76</v>
      </c>
      <c r="I88" s="188">
        <f>H88/12/2.868</f>
        <v>6.5597396559739654</v>
      </c>
      <c r="J88" s="507">
        <v>188.4</v>
      </c>
      <c r="K88" s="547">
        <f t="shared" si="15"/>
        <v>94.2</v>
      </c>
      <c r="L88" s="615"/>
      <c r="M88" s="548"/>
      <c r="N88" s="478"/>
      <c r="O88" s="548"/>
      <c r="P88" s="616"/>
      <c r="Q88" s="758">
        <f>J88/12/2.868</f>
        <v>5.4741980474198053</v>
      </c>
      <c r="R88" s="429">
        <v>47.1</v>
      </c>
      <c r="S88" s="430">
        <v>47.1</v>
      </c>
      <c r="T88" s="430">
        <v>47.1</v>
      </c>
      <c r="U88" s="431">
        <v>47.1</v>
      </c>
      <c r="V88" s="390">
        <f t="shared" si="12"/>
        <v>188.4</v>
      </c>
      <c r="W88" s="390">
        <f t="shared" si="13"/>
        <v>0</v>
      </c>
      <c r="X88" s="503">
        <f t="shared" si="14"/>
        <v>188.4</v>
      </c>
    </row>
    <row r="89" spans="2:24" x14ac:dyDescent="0.2">
      <c r="B89" s="8" t="s">
        <v>51</v>
      </c>
      <c r="C89" s="23" t="s">
        <v>52</v>
      </c>
      <c r="D89" s="256">
        <v>556.29999999999995</v>
      </c>
      <c r="E89" s="40">
        <f>D89/12/2.868</f>
        <v>16.163993491399349</v>
      </c>
      <c r="F89" s="83">
        <v>533.70000000000005</v>
      </c>
      <c r="G89" s="40">
        <f>F89/12/2.868</f>
        <v>15.507322175732218</v>
      </c>
      <c r="H89" s="256">
        <v>418.5</v>
      </c>
      <c r="I89" s="40">
        <f>H89/12/2.868</f>
        <v>12.160041841004185</v>
      </c>
      <c r="J89" s="42">
        <f>J92+J97</f>
        <v>533.70000000000005</v>
      </c>
      <c r="K89" s="36">
        <v>533.70000000000005</v>
      </c>
      <c r="L89" s="42"/>
      <c r="M89" s="41">
        <v>344.8</v>
      </c>
      <c r="N89" s="458"/>
      <c r="O89" s="700">
        <f>M89/K89</f>
        <v>0.64605583661232902</v>
      </c>
      <c r="P89" s="458"/>
      <c r="Q89" s="39">
        <f>J89/12/2.868</f>
        <v>15.507322175732218</v>
      </c>
      <c r="R89" s="422">
        <f>R92+R97</f>
        <v>133.39999999999998</v>
      </c>
      <c r="S89" s="424">
        <f>S92+S97</f>
        <v>133.5</v>
      </c>
      <c r="T89" s="473">
        <f>T92+T97</f>
        <v>133.4</v>
      </c>
      <c r="U89" s="423">
        <f>U92+U97</f>
        <v>133.39999999999998</v>
      </c>
      <c r="V89" s="395">
        <f t="shared" si="12"/>
        <v>533.69999999999993</v>
      </c>
      <c r="W89" s="390">
        <f t="shared" si="13"/>
        <v>0</v>
      </c>
      <c r="X89" s="503">
        <f t="shared" si="14"/>
        <v>533.69999999999993</v>
      </c>
    </row>
    <row r="90" spans="2:24" ht="13.5" thickBot="1" x14ac:dyDescent="0.25">
      <c r="B90" s="205"/>
      <c r="C90" s="114" t="s">
        <v>61</v>
      </c>
      <c r="D90" s="169"/>
      <c r="E90" s="206"/>
      <c r="F90" s="84"/>
      <c r="G90" s="206"/>
      <c r="H90" s="169"/>
      <c r="I90" s="206"/>
      <c r="J90" s="56"/>
      <c r="K90" s="13"/>
      <c r="L90" s="12"/>
      <c r="M90" s="13"/>
      <c r="N90" s="233"/>
      <c r="O90" s="13"/>
      <c r="P90" s="233"/>
      <c r="Q90" s="18"/>
      <c r="R90" s="340"/>
      <c r="S90" s="90"/>
      <c r="T90" s="314"/>
      <c r="U90" s="315"/>
      <c r="V90" s="390">
        <f t="shared" si="12"/>
        <v>0</v>
      </c>
      <c r="W90" s="390">
        <f t="shared" si="13"/>
        <v>0</v>
      </c>
      <c r="X90" s="503"/>
    </row>
    <row r="91" spans="2:24" hidden="1" x14ac:dyDescent="0.2">
      <c r="B91" s="205"/>
      <c r="C91" s="108" t="s">
        <v>192</v>
      </c>
      <c r="D91" s="316">
        <v>556.29999999999995</v>
      </c>
      <c r="E91" s="19"/>
      <c r="F91" s="82">
        <v>533.70000000000005</v>
      </c>
      <c r="G91" s="19"/>
      <c r="H91" s="250">
        <v>242.3</v>
      </c>
      <c r="I91" s="19"/>
      <c r="J91" s="12"/>
      <c r="K91" s="13"/>
      <c r="L91" s="12"/>
      <c r="M91" s="13"/>
      <c r="N91" s="233"/>
      <c r="O91" s="13"/>
      <c r="P91" s="233"/>
      <c r="Q91" s="18"/>
      <c r="R91" s="340"/>
      <c r="S91" s="90"/>
      <c r="T91" s="90"/>
      <c r="U91" s="91"/>
      <c r="V91" s="390">
        <f t="shared" si="12"/>
        <v>0</v>
      </c>
      <c r="W91" s="390">
        <f t="shared" si="13"/>
        <v>0</v>
      </c>
      <c r="X91" s="503"/>
    </row>
    <row r="92" spans="2:24" hidden="1" x14ac:dyDescent="0.2">
      <c r="B92" s="205"/>
      <c r="C92" s="24" t="s">
        <v>54</v>
      </c>
      <c r="D92" s="169"/>
      <c r="E92" s="206"/>
      <c r="F92" s="84"/>
      <c r="G92" s="206"/>
      <c r="H92" s="169">
        <f>H93+H95+H96</f>
        <v>134.29999999999998</v>
      </c>
      <c r="I92" s="206"/>
      <c r="J92" s="169">
        <f>J93+J94+J95+J96</f>
        <v>404.6</v>
      </c>
      <c r="K92" s="552">
        <f>SUM(K93:K96)</f>
        <v>202.3</v>
      </c>
      <c r="L92" s="169"/>
      <c r="M92" s="552"/>
      <c r="N92" s="625"/>
      <c r="O92" s="552"/>
      <c r="P92" s="625"/>
      <c r="Q92" s="153"/>
      <c r="R92" s="459">
        <f>R93+R94+R95+R96</f>
        <v>101.1</v>
      </c>
      <c r="S92" s="460">
        <f>S93+S94+S95+S96</f>
        <v>101.2</v>
      </c>
      <c r="T92" s="460">
        <f>T93+T94+T95+T96</f>
        <v>101.2</v>
      </c>
      <c r="U92" s="461">
        <f>U93+U94+U95+U96</f>
        <v>101.1</v>
      </c>
      <c r="V92" s="390">
        <f t="shared" si="12"/>
        <v>404.6</v>
      </c>
      <c r="W92" s="390">
        <f t="shared" si="13"/>
        <v>0</v>
      </c>
      <c r="X92" s="503">
        <f t="shared" ref="X92:X110" si="16">R92+S92+T92+U92</f>
        <v>404.6</v>
      </c>
    </row>
    <row r="93" spans="2:24" hidden="1" x14ac:dyDescent="0.2">
      <c r="B93" s="205"/>
      <c r="C93" s="15" t="s">
        <v>55</v>
      </c>
      <c r="D93" s="316"/>
      <c r="E93" s="19"/>
      <c r="F93" s="82"/>
      <c r="G93" s="19"/>
      <c r="H93" s="159">
        <v>42.5</v>
      </c>
      <c r="I93" s="19"/>
      <c r="J93" s="18">
        <v>158</v>
      </c>
      <c r="K93" s="727">
        <f>R93+S93</f>
        <v>79</v>
      </c>
      <c r="L93" s="726"/>
      <c r="M93" s="727"/>
      <c r="N93" s="728"/>
      <c r="O93" s="727"/>
      <c r="P93" s="238"/>
      <c r="Q93" s="18"/>
      <c r="R93" s="462">
        <v>39.5</v>
      </c>
      <c r="S93" s="463">
        <v>39.5</v>
      </c>
      <c r="T93" s="463">
        <v>39.5</v>
      </c>
      <c r="U93" s="464">
        <v>39.5</v>
      </c>
      <c r="V93" s="390">
        <f t="shared" si="12"/>
        <v>158</v>
      </c>
      <c r="W93" s="390">
        <f t="shared" si="13"/>
        <v>0</v>
      </c>
      <c r="X93" s="503">
        <f t="shared" si="16"/>
        <v>158</v>
      </c>
    </row>
    <row r="94" spans="2:24" hidden="1" x14ac:dyDescent="0.2">
      <c r="B94" s="205"/>
      <c r="C94" s="15" t="s">
        <v>195</v>
      </c>
      <c r="D94" s="316"/>
      <c r="E94" s="19"/>
      <c r="F94" s="82"/>
      <c r="G94" s="19"/>
      <c r="H94" s="159"/>
      <c r="I94" s="19"/>
      <c r="J94" s="18">
        <v>6.8</v>
      </c>
      <c r="K94" s="727">
        <f>R94+S94</f>
        <v>3.4</v>
      </c>
      <c r="L94" s="726"/>
      <c r="M94" s="727"/>
      <c r="N94" s="728"/>
      <c r="O94" s="727"/>
      <c r="P94" s="238"/>
      <c r="Q94" s="18"/>
      <c r="R94" s="465">
        <v>1.7</v>
      </c>
      <c r="S94" s="466">
        <v>1.7</v>
      </c>
      <c r="T94" s="466">
        <v>1.7</v>
      </c>
      <c r="U94" s="467">
        <v>1.7</v>
      </c>
      <c r="V94" s="390">
        <f t="shared" si="12"/>
        <v>6.8</v>
      </c>
      <c r="W94" s="390">
        <f t="shared" si="13"/>
        <v>0</v>
      </c>
      <c r="X94" s="503">
        <f t="shared" si="16"/>
        <v>6.8</v>
      </c>
    </row>
    <row r="95" spans="2:24" hidden="1" x14ac:dyDescent="0.2">
      <c r="B95" s="205"/>
      <c r="C95" s="15" t="s">
        <v>200</v>
      </c>
      <c r="D95" s="169"/>
      <c r="E95" s="206"/>
      <c r="F95" s="84"/>
      <c r="G95" s="206"/>
      <c r="H95" s="213">
        <v>15.6</v>
      </c>
      <c r="I95" s="206"/>
      <c r="J95" s="153">
        <v>36.299999999999997</v>
      </c>
      <c r="K95" s="727">
        <f>R95+S95</f>
        <v>18.100000000000001</v>
      </c>
      <c r="L95" s="741"/>
      <c r="M95" s="742"/>
      <c r="N95" s="743"/>
      <c r="O95" s="742"/>
      <c r="P95" s="626"/>
      <c r="Q95" s="153"/>
      <c r="R95" s="468">
        <v>9</v>
      </c>
      <c r="S95" s="346">
        <v>9.1</v>
      </c>
      <c r="T95" s="346">
        <v>9.1</v>
      </c>
      <c r="U95" s="469">
        <v>9.1</v>
      </c>
      <c r="V95" s="390">
        <f t="shared" si="12"/>
        <v>36.300000000000004</v>
      </c>
      <c r="W95" s="390">
        <f t="shared" si="13"/>
        <v>0</v>
      </c>
      <c r="X95" s="503">
        <f t="shared" si="16"/>
        <v>36.300000000000004</v>
      </c>
    </row>
    <row r="96" spans="2:24" hidden="1" x14ac:dyDescent="0.2">
      <c r="B96" s="205"/>
      <c r="C96" s="15" t="s">
        <v>57</v>
      </c>
      <c r="D96" s="316"/>
      <c r="E96" s="19"/>
      <c r="F96" s="82"/>
      <c r="G96" s="19"/>
      <c r="H96" s="159">
        <f>318.5-H91</f>
        <v>76.199999999999989</v>
      </c>
      <c r="I96" s="19"/>
      <c r="J96" s="18">
        <f>196.8+12.2-6.1+0.6</f>
        <v>203.5</v>
      </c>
      <c r="K96" s="727">
        <f>R96+S96</f>
        <v>101.8</v>
      </c>
      <c r="L96" s="726"/>
      <c r="M96" s="727"/>
      <c r="N96" s="728"/>
      <c r="O96" s="727"/>
      <c r="P96" s="238"/>
      <c r="Q96" s="18"/>
      <c r="R96" s="465">
        <v>50.9</v>
      </c>
      <c r="S96" s="466">
        <v>50.9</v>
      </c>
      <c r="T96" s="466">
        <v>50.9</v>
      </c>
      <c r="U96" s="467">
        <v>50.8</v>
      </c>
      <c r="V96" s="390">
        <f t="shared" si="12"/>
        <v>203.5</v>
      </c>
      <c r="W96" s="390">
        <f t="shared" si="13"/>
        <v>0</v>
      </c>
      <c r="X96" s="503">
        <f t="shared" si="16"/>
        <v>203.5</v>
      </c>
    </row>
    <row r="97" spans="2:26" ht="13.5" hidden="1" thickBot="1" x14ac:dyDescent="0.25">
      <c r="B97" s="205"/>
      <c r="C97" s="125" t="s">
        <v>59</v>
      </c>
      <c r="D97" s="169"/>
      <c r="E97" s="206"/>
      <c r="F97" s="84"/>
      <c r="G97" s="206"/>
      <c r="H97" s="169" t="e">
        <f>H93*H153/100</f>
        <v>#REF!</v>
      </c>
      <c r="I97" s="206"/>
      <c r="J97" s="507">
        <v>129.1</v>
      </c>
      <c r="K97" s="547">
        <f>R97+S97</f>
        <v>64.599999999999994</v>
      </c>
      <c r="L97" s="594"/>
      <c r="M97" s="665"/>
      <c r="N97" s="681"/>
      <c r="O97" s="665"/>
      <c r="P97" s="627"/>
      <c r="Q97" s="213"/>
      <c r="R97" s="470">
        <v>32.299999999999997</v>
      </c>
      <c r="S97" s="471">
        <v>32.299999999999997</v>
      </c>
      <c r="T97" s="471">
        <v>32.200000000000003</v>
      </c>
      <c r="U97" s="472">
        <v>32.299999999999997</v>
      </c>
      <c r="V97" s="390">
        <f t="shared" si="12"/>
        <v>129.1</v>
      </c>
      <c r="W97" s="390">
        <f t="shared" si="13"/>
        <v>0</v>
      </c>
      <c r="X97" s="503">
        <f t="shared" si="16"/>
        <v>129.1</v>
      </c>
    </row>
    <row r="98" spans="2:26" ht="13.5" thickBot="1" x14ac:dyDescent="0.25">
      <c r="B98" s="106"/>
      <c r="C98" s="128" t="s">
        <v>62</v>
      </c>
      <c r="D98" s="121" t="e">
        <f>D42+D50+D51+D52+D61+D69+D70+D80+D89</f>
        <v>#REF!</v>
      </c>
      <c r="E98" s="194" t="e">
        <f>D98/12/2.868</f>
        <v>#REF!</v>
      </c>
      <c r="F98" s="112">
        <f>F42+F50+F51+F52+F69+F70+F80+F89</f>
        <v>3018.7299999999996</v>
      </c>
      <c r="G98" s="194">
        <f t="shared" ref="G98:G103" si="17">F98/12/2.868</f>
        <v>87.712982333798223</v>
      </c>
      <c r="H98" s="121">
        <f>H42+H50+H51+H52+H61+H69+H70+H80+H89</f>
        <v>3249.8</v>
      </c>
      <c r="I98" s="194">
        <f>H98/12/2.868</f>
        <v>94.427010692701074</v>
      </c>
      <c r="J98" s="120">
        <f>J42+J50+J51+J52+J61+J69+J70+J80+J89</f>
        <v>3034.3</v>
      </c>
      <c r="K98" s="154">
        <f>K42+K50+K51+K52+K69+K70+K80+K89</f>
        <v>3034.3</v>
      </c>
      <c r="L98" s="120"/>
      <c r="M98" s="154">
        <f>M42+M50+M51+M52+M69+M70+M80+M89</f>
        <v>3501.2700000000004</v>
      </c>
      <c r="N98" s="628"/>
      <c r="O98" s="700">
        <f>M98/K98</f>
        <v>1.1538971097122896</v>
      </c>
      <c r="P98" s="628"/>
      <c r="Q98" s="763">
        <f>J98/12/2.868</f>
        <v>88.165388191538824</v>
      </c>
      <c r="R98" s="399">
        <f>R42+R50+R51+R52+R61+R69+R70+R80+R89</f>
        <v>758.6</v>
      </c>
      <c r="S98" s="393">
        <f>S42+S50+S51+S52+S61+S69+S70+S80+S89</f>
        <v>758.59999999999991</v>
      </c>
      <c r="T98" s="392">
        <f>T42+T50+T51+T52+T61+T69+T70+T80+T89</f>
        <v>758.9</v>
      </c>
      <c r="U98" s="400">
        <f>U42+U50+U51+U52+U61+U69+U70+U80+U89</f>
        <v>758.19999999999993</v>
      </c>
      <c r="V98" s="395">
        <f t="shared" si="12"/>
        <v>3034.2999999999997</v>
      </c>
      <c r="W98" s="199">
        <f>SUM(R98:V98)</f>
        <v>6068.5999999999995</v>
      </c>
      <c r="X98" s="503">
        <f t="shared" si="16"/>
        <v>3034.2999999999997</v>
      </c>
      <c r="Z98" s="199"/>
    </row>
    <row r="99" spans="2:26" ht="13.5" thickBot="1" x14ac:dyDescent="0.25">
      <c r="B99" s="22" t="s">
        <v>60</v>
      </c>
      <c r="C99" s="43" t="s">
        <v>64</v>
      </c>
      <c r="D99" s="256">
        <f>D100+D101</f>
        <v>348.3</v>
      </c>
      <c r="E99" s="40">
        <f>D99/12/2.868</f>
        <v>10.12029288702929</v>
      </c>
      <c r="F99" s="83">
        <v>343.9</v>
      </c>
      <c r="G99" s="40">
        <f t="shared" si="17"/>
        <v>9.9924453742445376</v>
      </c>
      <c r="H99" s="256">
        <f>H100+H101</f>
        <v>406.09999999999997</v>
      </c>
      <c r="I99" s="40">
        <f>H99/12/2.868</f>
        <v>11.799744304974428</v>
      </c>
      <c r="J99" s="42">
        <f>J100+J101</f>
        <v>343.9</v>
      </c>
      <c r="K99" s="41">
        <v>343.9</v>
      </c>
      <c r="L99" s="42"/>
      <c r="M99" s="41">
        <v>488.3</v>
      </c>
      <c r="N99" s="41"/>
      <c r="O99" s="700">
        <f>M99/K99</f>
        <v>1.419889502762431</v>
      </c>
      <c r="P99" s="690"/>
      <c r="Q99" s="621">
        <f>J99/12/2.868</f>
        <v>9.9924453742445376</v>
      </c>
      <c r="R99" s="450">
        <f>J99/4</f>
        <v>85.974999999999994</v>
      </c>
      <c r="S99" s="474">
        <f>J99/4</f>
        <v>85.974999999999994</v>
      </c>
      <c r="T99" s="474">
        <f>J99/4</f>
        <v>85.974999999999994</v>
      </c>
      <c r="U99" s="475">
        <f>J99/4</f>
        <v>85.974999999999994</v>
      </c>
      <c r="V99" s="390">
        <f t="shared" si="12"/>
        <v>343.9</v>
      </c>
      <c r="X99" s="503">
        <f t="shared" si="16"/>
        <v>343.9</v>
      </c>
    </row>
    <row r="100" spans="2:26" hidden="1" x14ac:dyDescent="0.2">
      <c r="B100" s="14"/>
      <c r="C100" s="45" t="s">
        <v>65</v>
      </c>
      <c r="D100" s="257">
        <v>62.7</v>
      </c>
      <c r="E100" s="19"/>
      <c r="F100" s="191">
        <v>48</v>
      </c>
      <c r="G100" s="89">
        <f t="shared" si="17"/>
        <v>1.394700139470014</v>
      </c>
      <c r="H100" s="257">
        <v>120.2</v>
      </c>
      <c r="I100" s="19"/>
      <c r="J100" s="46">
        <v>48</v>
      </c>
      <c r="K100" s="727">
        <f>R100+S100</f>
        <v>24</v>
      </c>
      <c r="L100" s="738"/>
      <c r="M100" s="739">
        <v>88</v>
      </c>
      <c r="N100" s="740"/>
      <c r="O100" s="739"/>
      <c r="P100" s="629"/>
      <c r="Q100" s="238"/>
      <c r="R100" s="406">
        <v>12</v>
      </c>
      <c r="S100" s="319">
        <v>12</v>
      </c>
      <c r="T100" s="319">
        <v>12</v>
      </c>
      <c r="U100" s="320">
        <v>12</v>
      </c>
      <c r="V100" s="390">
        <f t="shared" si="12"/>
        <v>48</v>
      </c>
      <c r="X100" s="503">
        <f t="shared" si="16"/>
        <v>48</v>
      </c>
    </row>
    <row r="101" spans="2:26" hidden="1" x14ac:dyDescent="0.2">
      <c r="B101" s="14"/>
      <c r="C101" s="45" t="s">
        <v>66</v>
      </c>
      <c r="D101" s="257">
        <v>285.60000000000002</v>
      </c>
      <c r="E101" s="19"/>
      <c r="F101" s="191">
        <v>295.89999999999998</v>
      </c>
      <c r="G101" s="89">
        <f t="shared" si="17"/>
        <v>8.5977452347745231</v>
      </c>
      <c r="H101" s="257">
        <v>285.89999999999998</v>
      </c>
      <c r="I101" s="19"/>
      <c r="J101" s="191">
        <v>295.89999999999998</v>
      </c>
      <c r="K101" s="727">
        <f>R101+S101</f>
        <v>148</v>
      </c>
      <c r="L101" s="738"/>
      <c r="M101" s="739">
        <v>142.9</v>
      </c>
      <c r="N101" s="740"/>
      <c r="O101" s="739"/>
      <c r="P101" s="630"/>
      <c r="Q101" s="238"/>
      <c r="R101" s="406">
        <v>74</v>
      </c>
      <c r="S101" s="319">
        <v>74</v>
      </c>
      <c r="T101" s="319">
        <v>74</v>
      </c>
      <c r="U101" s="320">
        <v>73.900000000000006</v>
      </c>
      <c r="V101" s="390">
        <f t="shared" si="12"/>
        <v>295.89999999999998</v>
      </c>
      <c r="X101" s="503">
        <f t="shared" si="16"/>
        <v>295.89999999999998</v>
      </c>
    </row>
    <row r="102" spans="2:26" ht="13.5" thickBot="1" x14ac:dyDescent="0.25">
      <c r="B102" s="141"/>
      <c r="C102" s="334" t="s">
        <v>67</v>
      </c>
      <c r="D102" s="192" t="e">
        <f>D98+D99</f>
        <v>#REF!</v>
      </c>
      <c r="E102" s="34" t="e">
        <f>D102/12/2.868</f>
        <v>#REF!</v>
      </c>
      <c r="F102" s="107">
        <f>F98+F99</f>
        <v>3362.6299999999997</v>
      </c>
      <c r="G102" s="34">
        <f t="shared" si="17"/>
        <v>97.705427708042762</v>
      </c>
      <c r="H102" s="192">
        <f>H98+H99</f>
        <v>3655.9</v>
      </c>
      <c r="I102" s="34">
        <f>H102/12/2.868</f>
        <v>106.22675499767551</v>
      </c>
      <c r="J102" s="160">
        <f>J98+J99</f>
        <v>3378.2000000000003</v>
      </c>
      <c r="K102" s="147">
        <f>K98+K99</f>
        <v>3378.2000000000003</v>
      </c>
      <c r="L102" s="160"/>
      <c r="M102" s="147">
        <f>M98+M99</f>
        <v>3989.5700000000006</v>
      </c>
      <c r="N102" s="631"/>
      <c r="O102" s="700">
        <f>M102/K102</f>
        <v>1.1809750754839856</v>
      </c>
      <c r="P102" s="631"/>
      <c r="Q102" s="239">
        <f>J102/12/2.868</f>
        <v>98.157833565783378</v>
      </c>
      <c r="R102" s="476">
        <f>R98+R99</f>
        <v>844.57500000000005</v>
      </c>
      <c r="S102" s="477">
        <f>S98+S99</f>
        <v>844.57499999999993</v>
      </c>
      <c r="T102" s="477">
        <f>T98+T99</f>
        <v>844.875</v>
      </c>
      <c r="U102" s="478">
        <f>U98+U99</f>
        <v>844.17499999999995</v>
      </c>
      <c r="V102" s="395">
        <f t="shared" si="12"/>
        <v>3378.2</v>
      </c>
      <c r="W102" s="199">
        <f>SUM(R102:V102)</f>
        <v>6756.4</v>
      </c>
      <c r="X102" s="503">
        <f t="shared" si="16"/>
        <v>3378.2</v>
      </c>
      <c r="Y102" s="503">
        <f>X102+X103+X104+X112</f>
        <v>5782.7</v>
      </c>
      <c r="Z102" s="199"/>
    </row>
    <row r="103" spans="2:26" ht="13.5" thickBot="1" x14ac:dyDescent="0.25">
      <c r="B103" s="132" t="s">
        <v>63</v>
      </c>
      <c r="C103" s="128" t="s">
        <v>68</v>
      </c>
      <c r="D103" s="121">
        <v>667.3</v>
      </c>
      <c r="E103" s="194">
        <f>D103/12/2.868</f>
        <v>19.389237563923754</v>
      </c>
      <c r="F103" s="112">
        <v>1002.1</v>
      </c>
      <c r="G103" s="194">
        <f t="shared" si="17"/>
        <v>29.117271036727107</v>
      </c>
      <c r="H103" s="121">
        <v>908.2</v>
      </c>
      <c r="I103" s="194">
        <f>H103/12/2.868</f>
        <v>26.388888888888893</v>
      </c>
      <c r="J103" s="120">
        <v>980.7</v>
      </c>
      <c r="K103" s="727">
        <v>980.7</v>
      </c>
      <c r="L103" s="741"/>
      <c r="M103" s="742">
        <v>978</v>
      </c>
      <c r="N103" s="743"/>
      <c r="O103" s="700">
        <f>M103/K103</f>
        <v>0.9972468644845518</v>
      </c>
      <c r="P103" s="628"/>
      <c r="Q103" s="759">
        <f>J103/12/2.868</f>
        <v>28.495467224546726</v>
      </c>
      <c r="R103" s="447">
        <v>245.2</v>
      </c>
      <c r="S103" s="353">
        <v>245.1</v>
      </c>
      <c r="T103" s="353">
        <v>245.2</v>
      </c>
      <c r="U103" s="388">
        <v>245.2</v>
      </c>
      <c r="V103" s="390">
        <f t="shared" si="12"/>
        <v>980.7</v>
      </c>
      <c r="X103" s="503">
        <f t="shared" si="16"/>
        <v>980.7</v>
      </c>
    </row>
    <row r="104" spans="2:26" ht="13.5" thickBot="1" x14ac:dyDescent="0.25">
      <c r="B104" s="526" t="s">
        <v>133</v>
      </c>
      <c r="C104" s="136" t="s">
        <v>69</v>
      </c>
      <c r="D104" s="260" t="e">
        <f>D105+D106+D108+D109+D110</f>
        <v>#REF!</v>
      </c>
      <c r="E104" s="105"/>
      <c r="F104" s="81">
        <f>F105+F106+F108+F109+F110</f>
        <v>439.30000000000007</v>
      </c>
      <c r="G104" s="105"/>
      <c r="H104" s="260">
        <f>H105+H106+H107+H108+H109+H110</f>
        <v>659.56</v>
      </c>
      <c r="I104" s="105"/>
      <c r="J104" s="37">
        <f>SUM(J105:J110)</f>
        <v>657.09999999999991</v>
      </c>
      <c r="K104" s="36">
        <v>657.1</v>
      </c>
      <c r="L104" s="37"/>
      <c r="M104" s="36">
        <v>573.1</v>
      </c>
      <c r="N104" s="624"/>
      <c r="O104" s="700">
        <f>M104/K104</f>
        <v>0.87216557601582712</v>
      </c>
      <c r="P104" s="672"/>
      <c r="Q104" s="624"/>
      <c r="R104" s="36">
        <f>SUM(R105:R110)</f>
        <v>188.1</v>
      </c>
      <c r="S104" s="553">
        <f>SUM(S105:S110)</f>
        <v>142.5</v>
      </c>
      <c r="T104" s="504">
        <f>SUM(T105:T110)</f>
        <v>142.49999999999997</v>
      </c>
      <c r="U104" s="521">
        <f>SUM(U105:U110)</f>
        <v>184</v>
      </c>
      <c r="V104" s="390">
        <f t="shared" si="12"/>
        <v>657.1</v>
      </c>
      <c r="X104" s="503">
        <f t="shared" si="16"/>
        <v>657.1</v>
      </c>
      <c r="Y104">
        <v>183.4</v>
      </c>
      <c r="Z104" s="199"/>
    </row>
    <row r="105" spans="2:26" hidden="1" x14ac:dyDescent="0.2">
      <c r="B105" s="25"/>
      <c r="C105" s="20" t="s">
        <v>70</v>
      </c>
      <c r="D105" s="39">
        <v>184.8</v>
      </c>
      <c r="E105" s="19"/>
      <c r="F105" s="39">
        <v>187.5</v>
      </c>
      <c r="G105" s="19"/>
      <c r="H105" s="39">
        <f>187.9</f>
        <v>187.9</v>
      </c>
      <c r="I105" s="19"/>
      <c r="J105" s="39">
        <v>273.7</v>
      </c>
      <c r="K105" s="727">
        <f t="shared" ref="K105:K110" si="18">R105+S105</f>
        <v>134.80000000000001</v>
      </c>
      <c r="L105" s="738"/>
      <c r="M105" s="739"/>
      <c r="N105" s="740"/>
      <c r="O105" s="739"/>
      <c r="P105" s="621"/>
      <c r="Q105" s="238"/>
      <c r="R105" s="270">
        <v>74.400000000000006</v>
      </c>
      <c r="S105" s="269">
        <v>60.4</v>
      </c>
      <c r="T105" s="359">
        <v>60.4</v>
      </c>
      <c r="U105" s="357">
        <v>78.5</v>
      </c>
      <c r="V105" s="390">
        <f t="shared" si="12"/>
        <v>273.70000000000005</v>
      </c>
      <c r="X105" s="503">
        <f t="shared" si="16"/>
        <v>273.70000000000005</v>
      </c>
    </row>
    <row r="106" spans="2:26" hidden="1" x14ac:dyDescent="0.2">
      <c r="B106" s="25"/>
      <c r="C106" s="20" t="s">
        <v>71</v>
      </c>
      <c r="D106" s="39">
        <v>20.8</v>
      </c>
      <c r="E106" s="19"/>
      <c r="F106" s="39">
        <v>18</v>
      </c>
      <c r="G106" s="19"/>
      <c r="H106" s="39">
        <v>18.600000000000001</v>
      </c>
      <c r="I106" s="19"/>
      <c r="J106" s="39">
        <v>27.4</v>
      </c>
      <c r="K106" s="727">
        <f t="shared" si="18"/>
        <v>13.7</v>
      </c>
      <c r="L106" s="738"/>
      <c r="M106" s="739"/>
      <c r="N106" s="740"/>
      <c r="O106" s="739"/>
      <c r="P106" s="621"/>
      <c r="Q106" s="238"/>
      <c r="R106" s="270">
        <v>6.9</v>
      </c>
      <c r="S106" s="306">
        <v>6.8</v>
      </c>
      <c r="T106" s="356">
        <v>6.9</v>
      </c>
      <c r="U106" s="357">
        <v>6.8</v>
      </c>
      <c r="V106" s="390">
        <f>SUM(R106:U106)</f>
        <v>27.400000000000002</v>
      </c>
      <c r="X106" s="503">
        <f t="shared" si="16"/>
        <v>27.400000000000002</v>
      </c>
      <c r="Y106">
        <v>27.7</v>
      </c>
    </row>
    <row r="107" spans="2:26" hidden="1" x14ac:dyDescent="0.2">
      <c r="B107" s="25"/>
      <c r="C107" s="20" t="s">
        <v>196</v>
      </c>
      <c r="D107" s="39"/>
      <c r="E107" s="19"/>
      <c r="F107" s="39"/>
      <c r="G107" s="19"/>
      <c r="H107" s="39">
        <f>71.9</f>
        <v>71.900000000000006</v>
      </c>
      <c r="I107" s="19"/>
      <c r="J107" s="39">
        <v>95.1</v>
      </c>
      <c r="K107" s="727">
        <f t="shared" si="18"/>
        <v>46.9</v>
      </c>
      <c r="L107" s="738"/>
      <c r="M107" s="739"/>
      <c r="N107" s="740"/>
      <c r="O107" s="739"/>
      <c r="P107" s="621"/>
      <c r="Q107" s="238"/>
      <c r="R107" s="270">
        <v>25.9</v>
      </c>
      <c r="S107" s="269">
        <v>21</v>
      </c>
      <c r="T107" s="359">
        <v>21</v>
      </c>
      <c r="U107" s="357">
        <v>27.2</v>
      </c>
      <c r="V107" s="390">
        <f>SUM(R107:U107)</f>
        <v>95.100000000000009</v>
      </c>
      <c r="X107" s="503">
        <f t="shared" si="16"/>
        <v>95.100000000000009</v>
      </c>
    </row>
    <row r="108" spans="2:26" hidden="1" x14ac:dyDescent="0.2">
      <c r="B108" s="25"/>
      <c r="C108" s="20" t="s">
        <v>72</v>
      </c>
      <c r="D108" s="39">
        <v>75.56</v>
      </c>
      <c r="E108" s="19"/>
      <c r="F108" s="39">
        <v>75.599999999999994</v>
      </c>
      <c r="G108" s="19"/>
      <c r="H108" s="39">
        <v>102.3</v>
      </c>
      <c r="I108" s="19"/>
      <c r="J108" s="39">
        <v>87.2</v>
      </c>
      <c r="K108" s="727">
        <f t="shared" si="18"/>
        <v>42.9</v>
      </c>
      <c r="L108" s="738"/>
      <c r="M108" s="739"/>
      <c r="N108" s="740"/>
      <c r="O108" s="739"/>
      <c r="P108" s="621"/>
      <c r="Q108" s="621"/>
      <c r="R108" s="270">
        <v>23.5</v>
      </c>
      <c r="S108" s="269">
        <v>19.399999999999999</v>
      </c>
      <c r="T108" s="356">
        <v>19.399999999999999</v>
      </c>
      <c r="U108" s="357">
        <v>24.9</v>
      </c>
      <c r="V108" s="390">
        <f>SUM(R108:U108)</f>
        <v>87.199999999999989</v>
      </c>
      <c r="X108" s="503">
        <f t="shared" si="16"/>
        <v>87.199999999999989</v>
      </c>
    </row>
    <row r="109" spans="2:26" hidden="1" x14ac:dyDescent="0.2">
      <c r="B109" s="25"/>
      <c r="C109" s="20" t="s">
        <v>73</v>
      </c>
      <c r="D109" s="39">
        <v>6.4</v>
      </c>
      <c r="E109" s="19"/>
      <c r="F109" s="39">
        <v>16.3</v>
      </c>
      <c r="G109" s="19"/>
      <c r="H109" s="39">
        <f>3.7+0.7</f>
        <v>4.4000000000000004</v>
      </c>
      <c r="I109" s="19"/>
      <c r="J109" s="39">
        <v>22.5</v>
      </c>
      <c r="K109" s="727">
        <f t="shared" si="18"/>
        <v>12.999999999999979</v>
      </c>
      <c r="L109" s="738"/>
      <c r="M109" s="739"/>
      <c r="N109" s="740"/>
      <c r="O109" s="739"/>
      <c r="P109" s="621"/>
      <c r="Q109" s="238"/>
      <c r="R109" s="270">
        <f>188.1-R105-R106-R107-R108-R110</f>
        <v>12.499999999999979</v>
      </c>
      <c r="S109" s="269">
        <f>142.5-S105-S106-S107-S108-S110</f>
        <v>0.5</v>
      </c>
      <c r="T109" s="359">
        <f>142.5-T105-T106-T107-T108-T110</f>
        <v>0.39999999999999147</v>
      </c>
      <c r="U109" s="357">
        <f>184-U105-U106-U107-U108-U110</f>
        <v>9.1000000000000014</v>
      </c>
      <c r="V109" s="390">
        <f>SUM(R109:U109)</f>
        <v>22.499999999999972</v>
      </c>
      <c r="X109" s="503">
        <f t="shared" si="16"/>
        <v>22.499999999999972</v>
      </c>
      <c r="Y109">
        <v>22.5</v>
      </c>
    </row>
    <row r="110" spans="2:26" ht="13.5" hidden="1" thickBot="1" x14ac:dyDescent="0.25">
      <c r="B110" s="527"/>
      <c r="C110" s="528" t="s">
        <v>153</v>
      </c>
      <c r="D110" s="508" t="e">
        <f>(D105+D106)*D153/100</f>
        <v>#REF!</v>
      </c>
      <c r="E110" s="275"/>
      <c r="F110" s="508">
        <v>141.9</v>
      </c>
      <c r="G110" s="275"/>
      <c r="H110" s="529">
        <v>274.45999999999998</v>
      </c>
      <c r="I110" s="275"/>
      <c r="J110" s="508">
        <f>157.9-6.7</f>
        <v>151.20000000000002</v>
      </c>
      <c r="K110" s="547">
        <f t="shared" si="18"/>
        <v>79.3</v>
      </c>
      <c r="L110" s="594"/>
      <c r="M110" s="665"/>
      <c r="N110" s="681"/>
      <c r="O110" s="665"/>
      <c r="P110" s="620"/>
      <c r="Q110" s="239"/>
      <c r="R110" s="299">
        <v>44.9</v>
      </c>
      <c r="S110" s="530">
        <v>34.4</v>
      </c>
      <c r="T110" s="531">
        <v>34.4</v>
      </c>
      <c r="U110" s="532">
        <f>44.1-6.6</f>
        <v>37.5</v>
      </c>
      <c r="V110" s="390">
        <f>SUM(R110:U110)</f>
        <v>151.19999999999999</v>
      </c>
      <c r="X110" s="503">
        <f t="shared" si="16"/>
        <v>151.19999999999999</v>
      </c>
    </row>
    <row r="111" spans="2:26" ht="13.5" thickBot="1" x14ac:dyDescent="0.25">
      <c r="B111" s="133" t="s">
        <v>134</v>
      </c>
      <c r="C111" s="134" t="s">
        <v>75</v>
      </c>
      <c r="D111" s="120"/>
      <c r="E111" s="194"/>
      <c r="F111" s="112"/>
      <c r="G111" s="194"/>
      <c r="H111" s="120"/>
      <c r="I111" s="194"/>
      <c r="J111" s="120"/>
      <c r="K111" s="154"/>
      <c r="L111" s="120"/>
      <c r="M111" s="154"/>
      <c r="N111" s="628"/>
      <c r="O111" s="154"/>
      <c r="P111" s="628"/>
      <c r="Q111" s="759"/>
      <c r="R111" s="555"/>
      <c r="S111" s="554"/>
      <c r="T111" s="479"/>
      <c r="U111" s="480"/>
      <c r="V111" s="390">
        <f>SUM(V105:V110)</f>
        <v>657.09999999999991</v>
      </c>
      <c r="X111" s="503"/>
    </row>
    <row r="112" spans="2:26" ht="13.5" thickBot="1" x14ac:dyDescent="0.25">
      <c r="B112" s="202" t="s">
        <v>74</v>
      </c>
      <c r="C112" s="136" t="s">
        <v>211</v>
      </c>
      <c r="D112" s="162">
        <v>337</v>
      </c>
      <c r="E112" s="105"/>
      <c r="F112" s="81">
        <f>F113+F119+F120+F121+F122</f>
        <v>617.9</v>
      </c>
      <c r="G112" s="105"/>
      <c r="H112" s="162">
        <f>H113+H119+H120+H121+H122</f>
        <v>599.61900000000003</v>
      </c>
      <c r="I112" s="105"/>
      <c r="J112" s="373">
        <f>J113+J118+J119+J120+J121+J122</f>
        <v>766.7</v>
      </c>
      <c r="K112" s="707">
        <v>766.7</v>
      </c>
      <c r="L112" s="708"/>
      <c r="M112" s="707">
        <v>584.1</v>
      </c>
      <c r="N112" s="709"/>
      <c r="O112" s="705">
        <f>M112/K112</f>
        <v>0.76183644189383071</v>
      </c>
      <c r="P112" s="632"/>
      <c r="Q112" s="764"/>
      <c r="R112" s="556">
        <f>R113+R118+R119+R120+R121+R122</f>
        <v>159.5</v>
      </c>
      <c r="S112" s="373">
        <f>S113+S118+S119+S120+S121+S122</f>
        <v>252.8</v>
      </c>
      <c r="T112" s="520">
        <f>T113+T118+T119+T120+T121+T122</f>
        <v>178.6</v>
      </c>
      <c r="U112" s="522">
        <f>U113+U118+U119+U120+U121+U122</f>
        <v>175.8</v>
      </c>
      <c r="V112" s="390">
        <f>SUM(R112:U112)</f>
        <v>766.7</v>
      </c>
      <c r="W112" s="199">
        <f>V42+V50+V51+V52+V69+V70+V79+V80+V89+V99+V103+V104+V112</f>
        <v>5782.7</v>
      </c>
      <c r="X112" s="503">
        <f t="shared" ref="X112:X123" si="19">R112+S112+T112+U112</f>
        <v>766.7</v>
      </c>
      <c r="Z112" s="199"/>
    </row>
    <row r="113" spans="1:24" hidden="1" x14ac:dyDescent="0.2">
      <c r="A113" s="95"/>
      <c r="B113" s="779"/>
      <c r="C113" s="173" t="s">
        <v>142</v>
      </c>
      <c r="D113" s="159">
        <v>84</v>
      </c>
      <c r="E113" s="96"/>
      <c r="F113" s="159">
        <v>82.7</v>
      </c>
      <c r="G113" s="96"/>
      <c r="H113" s="159">
        <v>65.8</v>
      </c>
      <c r="I113" s="96"/>
      <c r="J113" s="159">
        <f>J114+J115+J116+J117+J118</f>
        <v>85.4</v>
      </c>
      <c r="K113" s="739">
        <f>R113+S113</f>
        <v>42.7</v>
      </c>
      <c r="L113" s="738"/>
      <c r="M113" s="739">
        <v>35.1</v>
      </c>
      <c r="N113" s="740"/>
      <c r="O113" s="739"/>
      <c r="P113" s="633"/>
      <c r="Q113" s="238"/>
      <c r="R113" s="270">
        <v>21.4</v>
      </c>
      <c r="S113" s="269">
        <v>21.3</v>
      </c>
      <c r="T113" s="359">
        <v>21.3</v>
      </c>
      <c r="U113" s="357">
        <v>21.4</v>
      </c>
      <c r="V113" s="390">
        <f>SUM(R113:U113)</f>
        <v>85.4</v>
      </c>
      <c r="W113" s="350">
        <f>W13+V35-V41</f>
        <v>44.100000000001273</v>
      </c>
      <c r="X113" s="503">
        <f t="shared" si="19"/>
        <v>85.4</v>
      </c>
    </row>
    <row r="114" spans="1:24" hidden="1" x14ac:dyDescent="0.2">
      <c r="A114" s="95"/>
      <c r="B114" s="780"/>
      <c r="C114" s="94" t="s">
        <v>158</v>
      </c>
      <c r="D114" s="175">
        <f>35.8</f>
        <v>35.799999999999997</v>
      </c>
      <c r="E114" s="96"/>
      <c r="F114" s="175">
        <v>25.4</v>
      </c>
      <c r="G114" s="332"/>
      <c r="H114" s="175">
        <f>H113/1.3677</f>
        <v>48.109965635738831</v>
      </c>
      <c r="I114" s="96"/>
      <c r="J114" s="175">
        <f>(85.4-J117-J118)/1.22</f>
        <v>38.524590163934434</v>
      </c>
      <c r="K114" s="727">
        <f>R114+S114</f>
        <v>19.2</v>
      </c>
      <c r="L114" s="726"/>
      <c r="M114" s="727"/>
      <c r="N114" s="728"/>
      <c r="O114" s="727"/>
      <c r="P114" s="634"/>
      <c r="Q114" s="238"/>
      <c r="R114" s="270">
        <v>9.6</v>
      </c>
      <c r="S114" s="269">
        <v>9.6</v>
      </c>
      <c r="T114" s="359">
        <v>9.6</v>
      </c>
      <c r="U114" s="357">
        <v>9.6999999999999993</v>
      </c>
      <c r="V114" s="390"/>
      <c r="X114" s="503">
        <f t="shared" si="19"/>
        <v>38.5</v>
      </c>
    </row>
    <row r="115" spans="1:24" hidden="1" x14ac:dyDescent="0.2">
      <c r="A115" s="95"/>
      <c r="B115" s="780"/>
      <c r="C115" s="94" t="s">
        <v>157</v>
      </c>
      <c r="D115" s="175"/>
      <c r="E115" s="96"/>
      <c r="F115" s="175">
        <v>7.6</v>
      </c>
      <c r="G115" s="96"/>
      <c r="H115" s="175"/>
      <c r="I115" s="96"/>
      <c r="J115" s="175"/>
      <c r="K115" s="727">
        <f>R115+S115</f>
        <v>0</v>
      </c>
      <c r="L115" s="726"/>
      <c r="M115" s="727"/>
      <c r="N115" s="728"/>
      <c r="O115" s="727"/>
      <c r="P115" s="634"/>
      <c r="Q115" s="238"/>
      <c r="R115" s="270">
        <f>J115/4</f>
        <v>0</v>
      </c>
      <c r="S115" s="269">
        <f>J115/4</f>
        <v>0</v>
      </c>
      <c r="T115" s="359">
        <f>J115/4</f>
        <v>0</v>
      </c>
      <c r="U115" s="357">
        <f>J115/4</f>
        <v>0</v>
      </c>
      <c r="V115" s="390"/>
      <c r="X115" s="503">
        <f t="shared" si="19"/>
        <v>0</v>
      </c>
    </row>
    <row r="116" spans="1:24" hidden="1" x14ac:dyDescent="0.2">
      <c r="A116" s="95"/>
      <c r="B116" s="780"/>
      <c r="C116" s="94" t="s">
        <v>154</v>
      </c>
      <c r="D116" s="175">
        <f>D114*0.3677</f>
        <v>13.16366</v>
      </c>
      <c r="E116" s="96"/>
      <c r="F116" s="175">
        <v>12.4</v>
      </c>
      <c r="G116" s="96"/>
      <c r="H116" s="175">
        <f>H113-H114</f>
        <v>17.690034364261166</v>
      </c>
      <c r="I116" s="96"/>
      <c r="J116" s="175">
        <f>(J114+J115)*0.22</f>
        <v>8.475409836065575</v>
      </c>
      <c r="K116" s="727">
        <f>R116+S116</f>
        <v>4.2</v>
      </c>
      <c r="L116" s="726"/>
      <c r="M116" s="727"/>
      <c r="N116" s="728"/>
      <c r="O116" s="727"/>
      <c r="P116" s="634"/>
      <c r="Q116" s="238"/>
      <c r="R116" s="270">
        <v>2.1</v>
      </c>
      <c r="S116" s="269">
        <v>2.1</v>
      </c>
      <c r="T116" s="359">
        <v>2.1</v>
      </c>
      <c r="U116" s="357">
        <v>2.2000000000000002</v>
      </c>
      <c r="V116" s="390"/>
      <c r="X116" s="503">
        <f t="shared" si="19"/>
        <v>8.5</v>
      </c>
    </row>
    <row r="117" spans="1:24" hidden="1" x14ac:dyDescent="0.2">
      <c r="A117" s="95"/>
      <c r="B117" s="780"/>
      <c r="C117" s="94" t="s">
        <v>155</v>
      </c>
      <c r="D117" s="175">
        <f>D113-D114-D116</f>
        <v>35.036340000000003</v>
      </c>
      <c r="E117" s="96"/>
      <c r="F117" s="175">
        <v>37.200000000000003</v>
      </c>
      <c r="G117" s="96"/>
      <c r="H117" s="175"/>
      <c r="I117" s="96"/>
      <c r="J117" s="175">
        <v>38.4</v>
      </c>
      <c r="K117" s="727">
        <f>R117+S117</f>
        <v>19.2</v>
      </c>
      <c r="L117" s="726"/>
      <c r="M117" s="727"/>
      <c r="N117" s="728"/>
      <c r="O117" s="727"/>
      <c r="P117" s="634"/>
      <c r="Q117" s="238"/>
      <c r="R117" s="270">
        <v>9.6</v>
      </c>
      <c r="S117" s="269">
        <v>9.6</v>
      </c>
      <c r="T117" s="359">
        <v>9.6</v>
      </c>
      <c r="U117" s="357">
        <v>9.6</v>
      </c>
      <c r="V117" s="390"/>
      <c r="X117" s="503">
        <f t="shared" si="19"/>
        <v>38.4</v>
      </c>
    </row>
    <row r="118" spans="1:24" ht="12.75" hidden="1" customHeight="1" x14ac:dyDescent="0.2">
      <c r="A118" s="95"/>
      <c r="B118" s="780"/>
      <c r="C118" s="97" t="s">
        <v>156</v>
      </c>
      <c r="D118" s="175"/>
      <c r="E118" s="96"/>
      <c r="F118" s="175">
        <v>20.3</v>
      </c>
      <c r="G118" s="96"/>
      <c r="H118" s="175">
        <v>20.3</v>
      </c>
      <c r="I118" s="96"/>
      <c r="J118" s="175"/>
      <c r="K118" s="557"/>
      <c r="L118" s="175"/>
      <c r="M118" s="557"/>
      <c r="N118" s="634"/>
      <c r="O118" s="557"/>
      <c r="P118" s="634"/>
      <c r="Q118" s="238"/>
      <c r="R118" s="575"/>
      <c r="S118" s="567"/>
      <c r="T118" s="481"/>
      <c r="U118" s="482"/>
      <c r="V118" s="390"/>
      <c r="X118" s="503">
        <f t="shared" si="19"/>
        <v>0</v>
      </c>
    </row>
    <row r="119" spans="1:24" hidden="1" x14ac:dyDescent="0.2">
      <c r="A119" s="95"/>
      <c r="B119" s="780"/>
      <c r="C119" s="174" t="s">
        <v>163</v>
      </c>
      <c r="D119" s="170">
        <v>15</v>
      </c>
      <c r="E119" s="171"/>
      <c r="F119" s="172">
        <v>39.5</v>
      </c>
      <c r="G119" s="171"/>
      <c r="H119" s="170">
        <f>18.278+6.721+15.2+5.589</f>
        <v>45.787999999999997</v>
      </c>
      <c r="I119" s="171"/>
      <c r="J119" s="102">
        <f>R119+S119+T119+U119</f>
        <v>68.599999999999994</v>
      </c>
      <c r="K119" s="727">
        <f>R119+S119</f>
        <v>50.6</v>
      </c>
      <c r="L119" s="726"/>
      <c r="M119" s="727"/>
      <c r="N119" s="728"/>
      <c r="O119" s="727"/>
      <c r="P119" s="236"/>
      <c r="Q119" s="238"/>
      <c r="R119" s="89">
        <v>18</v>
      </c>
      <c r="S119" s="318">
        <v>32.6</v>
      </c>
      <c r="T119" s="319"/>
      <c r="U119" s="320">
        <v>18</v>
      </c>
      <c r="V119" s="390">
        <f>SUM(R119:U119)</f>
        <v>68.599999999999994</v>
      </c>
      <c r="X119" s="503">
        <f t="shared" si="19"/>
        <v>68.599999999999994</v>
      </c>
    </row>
    <row r="120" spans="1:24" hidden="1" x14ac:dyDescent="0.2">
      <c r="A120" s="95"/>
      <c r="B120" s="780"/>
      <c r="C120" s="174" t="s">
        <v>145</v>
      </c>
      <c r="D120" s="170">
        <v>106.1</v>
      </c>
      <c r="E120" s="171"/>
      <c r="F120" s="170">
        <v>108.5</v>
      </c>
      <c r="G120" s="171"/>
      <c r="H120" s="170">
        <v>109.7</v>
      </c>
      <c r="I120" s="171"/>
      <c r="J120" s="102">
        <f>R120+S120+T120+U120</f>
        <v>122.30000000000001</v>
      </c>
      <c r="K120" s="727">
        <f>R120+S120</f>
        <v>42.2</v>
      </c>
      <c r="L120" s="726"/>
      <c r="M120" s="727"/>
      <c r="N120" s="728"/>
      <c r="O120" s="727"/>
      <c r="P120" s="236"/>
      <c r="Q120" s="238"/>
      <c r="R120" s="89"/>
      <c r="S120" s="318">
        <v>42.2</v>
      </c>
      <c r="T120" s="319">
        <v>60.7</v>
      </c>
      <c r="U120" s="320">
        <v>19.399999999999999</v>
      </c>
      <c r="V120" s="390">
        <f>SUM(R120:U120)</f>
        <v>122.30000000000001</v>
      </c>
      <c r="X120" s="503">
        <f t="shared" si="19"/>
        <v>122.30000000000001</v>
      </c>
    </row>
    <row r="121" spans="1:24" hidden="1" x14ac:dyDescent="0.2">
      <c r="A121" s="95"/>
      <c r="B121" s="780"/>
      <c r="C121" s="214" t="s">
        <v>159</v>
      </c>
      <c r="D121" s="159">
        <v>54.9</v>
      </c>
      <c r="E121" s="96"/>
      <c r="F121" s="215">
        <v>33.299999999999997</v>
      </c>
      <c r="G121" s="96"/>
      <c r="H121" s="159">
        <v>42</v>
      </c>
      <c r="I121" s="96"/>
      <c r="J121" s="389">
        <f>R121+S121+T121+U121</f>
        <v>43.7</v>
      </c>
      <c r="K121" s="727">
        <f>R121+S121</f>
        <v>23.5</v>
      </c>
      <c r="L121" s="738"/>
      <c r="M121" s="739">
        <v>21.8</v>
      </c>
      <c r="N121" s="740"/>
      <c r="O121" s="739"/>
      <c r="P121" s="635"/>
      <c r="Q121" s="765"/>
      <c r="R121" s="558">
        <v>23.5</v>
      </c>
      <c r="S121" s="568"/>
      <c r="T121" s="484"/>
      <c r="U121" s="485">
        <f>21.9-1.7</f>
        <v>20.2</v>
      </c>
      <c r="V121" s="390">
        <f>SUM(R121:U121)</f>
        <v>43.7</v>
      </c>
      <c r="X121" s="503">
        <f t="shared" si="19"/>
        <v>43.7</v>
      </c>
    </row>
    <row r="122" spans="1:24" hidden="1" x14ac:dyDescent="0.2">
      <c r="A122" s="95"/>
      <c r="B122" s="780"/>
      <c r="C122" s="20" t="s">
        <v>202</v>
      </c>
      <c r="D122" s="18">
        <f>76.6+0.4</f>
        <v>77</v>
      </c>
      <c r="E122" s="92"/>
      <c r="F122" s="18">
        <f>F123+F124+F125+F126+0.2</f>
        <v>353.9</v>
      </c>
      <c r="G122" s="92"/>
      <c r="H122" s="18">
        <f>32.021+24.096+20.634+7.15+2.629+78.128+117.606+9.858+18.037+5.191+5+10.752+5.129+0.1</f>
        <v>336.33100000000002</v>
      </c>
      <c r="I122" s="92"/>
      <c r="J122" s="159">
        <f>447.9-1.2</f>
        <v>446.7</v>
      </c>
      <c r="K122" s="727">
        <f>R122+S122</f>
        <v>253.29999999999998</v>
      </c>
      <c r="L122" s="726"/>
      <c r="M122" s="727"/>
      <c r="N122" s="728"/>
      <c r="O122" s="727"/>
      <c r="P122" s="633"/>
      <c r="Q122" s="633"/>
      <c r="R122" s="251">
        <v>96.6</v>
      </c>
      <c r="S122" s="569">
        <v>156.69999999999999</v>
      </c>
      <c r="T122" s="489">
        <v>96.6</v>
      </c>
      <c r="U122" s="523">
        <f>96.8</f>
        <v>96.8</v>
      </c>
      <c r="V122" s="390">
        <f>SUM(R122:U122)</f>
        <v>446.7</v>
      </c>
      <c r="X122" s="503">
        <f t="shared" si="19"/>
        <v>446.7</v>
      </c>
    </row>
    <row r="123" spans="1:24" hidden="1" x14ac:dyDescent="0.2">
      <c r="A123" s="349"/>
      <c r="B123" s="780"/>
      <c r="C123" s="78" t="s">
        <v>165</v>
      </c>
      <c r="D123" s="153">
        <v>5.9</v>
      </c>
      <c r="E123" s="200"/>
      <c r="F123" s="201">
        <v>35.700000000000003</v>
      </c>
      <c r="G123" s="200"/>
      <c r="H123" s="153"/>
      <c r="I123" s="200"/>
      <c r="J123" s="201">
        <v>60.1</v>
      </c>
      <c r="K123" s="727">
        <f>R123+S123</f>
        <v>60.1</v>
      </c>
      <c r="L123" s="741"/>
      <c r="M123" s="742"/>
      <c r="N123" s="743"/>
      <c r="O123" s="742"/>
      <c r="P123" s="636"/>
      <c r="Q123" s="743"/>
      <c r="R123" s="576"/>
      <c r="S123" s="570">
        <v>60.1</v>
      </c>
      <c r="T123" s="490"/>
      <c r="U123" s="491"/>
      <c r="V123" s="390"/>
      <c r="X123" s="503">
        <f t="shared" si="19"/>
        <v>60.1</v>
      </c>
    </row>
    <row r="124" spans="1:24" hidden="1" x14ac:dyDescent="0.2">
      <c r="A124" s="349"/>
      <c r="B124" s="780"/>
      <c r="C124" s="20" t="s">
        <v>171</v>
      </c>
      <c r="D124" s="18">
        <v>70.7</v>
      </c>
      <c r="E124" s="92"/>
      <c r="F124" s="509"/>
      <c r="G124" s="92"/>
      <c r="H124" s="18"/>
      <c r="I124" s="92"/>
      <c r="J124" s="509"/>
      <c r="K124" s="559"/>
      <c r="L124" s="509"/>
      <c r="M124" s="559"/>
      <c r="N124" s="637"/>
      <c r="O124" s="559"/>
      <c r="P124" s="637"/>
      <c r="Q124" s="728"/>
      <c r="R124" s="577"/>
      <c r="S124" s="571"/>
      <c r="T124" s="87"/>
      <c r="U124" s="88"/>
      <c r="V124" s="390"/>
      <c r="X124" s="503"/>
    </row>
    <row r="125" spans="1:24" hidden="1" x14ac:dyDescent="0.2">
      <c r="A125" s="349"/>
      <c r="B125" s="780"/>
      <c r="C125" s="20" t="s">
        <v>172</v>
      </c>
      <c r="D125" s="18"/>
      <c r="E125" s="92"/>
      <c r="F125" s="509">
        <v>27.6</v>
      </c>
      <c r="G125" s="92"/>
      <c r="H125" s="18"/>
      <c r="I125" s="92"/>
      <c r="J125" s="509"/>
      <c r="K125" s="559"/>
      <c r="L125" s="509"/>
      <c r="M125" s="559"/>
      <c r="N125" s="637"/>
      <c r="O125" s="559"/>
      <c r="P125" s="637"/>
      <c r="Q125" s="728"/>
      <c r="R125" s="577"/>
      <c r="S125" s="571"/>
      <c r="T125" s="87"/>
      <c r="U125" s="88"/>
      <c r="V125" s="390"/>
      <c r="X125" s="503"/>
    </row>
    <row r="126" spans="1:24" hidden="1" x14ac:dyDescent="0.2">
      <c r="A126" s="349"/>
      <c r="B126" s="780"/>
      <c r="C126" s="78" t="s">
        <v>166</v>
      </c>
      <c r="D126" s="153"/>
      <c r="E126" s="200"/>
      <c r="F126" s="201">
        <v>290.39999999999998</v>
      </c>
      <c r="G126" s="200"/>
      <c r="H126" s="153"/>
      <c r="I126" s="200"/>
      <c r="J126" s="201">
        <v>158.5</v>
      </c>
      <c r="K126" s="727">
        <f>R126+S126</f>
        <v>79.2</v>
      </c>
      <c r="L126" s="741"/>
      <c r="M126" s="742"/>
      <c r="N126" s="743"/>
      <c r="O126" s="742"/>
      <c r="P126" s="636"/>
      <c r="Q126" s="743"/>
      <c r="R126" s="578">
        <v>39.6</v>
      </c>
      <c r="S126" s="572">
        <v>39.6</v>
      </c>
      <c r="T126" s="515">
        <v>39.6</v>
      </c>
      <c r="U126" s="516">
        <v>39.700000000000003</v>
      </c>
      <c r="V126" s="390"/>
      <c r="X126" s="503"/>
    </row>
    <row r="127" spans="1:24" hidden="1" x14ac:dyDescent="0.2">
      <c r="A127" s="349"/>
      <c r="B127" s="780"/>
      <c r="C127" s="20" t="s">
        <v>220</v>
      </c>
      <c r="D127" s="18"/>
      <c r="E127" s="92"/>
      <c r="F127" s="509"/>
      <c r="G127" s="92"/>
      <c r="H127" s="18"/>
      <c r="I127" s="92"/>
      <c r="J127" s="509">
        <v>172.1</v>
      </c>
      <c r="K127" s="727">
        <f>R127+S127</f>
        <v>86</v>
      </c>
      <c r="L127" s="726"/>
      <c r="M127" s="727"/>
      <c r="N127" s="728"/>
      <c r="O127" s="727"/>
      <c r="P127" s="637"/>
      <c r="Q127" s="728"/>
      <c r="R127" s="579">
        <v>43</v>
      </c>
      <c r="S127" s="573">
        <v>43</v>
      </c>
      <c r="T127" s="519">
        <v>43</v>
      </c>
      <c r="U127" s="190">
        <v>43.1</v>
      </c>
      <c r="V127" s="390"/>
      <c r="X127" s="503"/>
    </row>
    <row r="128" spans="1:24" ht="13.5" hidden="1" thickBot="1" x14ac:dyDescent="0.25">
      <c r="A128" s="349"/>
      <c r="B128" s="781"/>
      <c r="C128" s="208" t="s">
        <v>221</v>
      </c>
      <c r="D128" s="149"/>
      <c r="E128" s="216"/>
      <c r="F128" s="217"/>
      <c r="G128" s="216"/>
      <c r="H128" s="149"/>
      <c r="I128" s="216"/>
      <c r="J128" s="217">
        <v>56</v>
      </c>
      <c r="K128" s="744">
        <f>R128+S128</f>
        <v>28</v>
      </c>
      <c r="L128" s="745"/>
      <c r="M128" s="746"/>
      <c r="N128" s="747"/>
      <c r="O128" s="746"/>
      <c r="P128" s="638"/>
      <c r="Q128" s="747"/>
      <c r="R128" s="580">
        <v>14</v>
      </c>
      <c r="S128" s="574">
        <v>14</v>
      </c>
      <c r="T128" s="517">
        <v>14</v>
      </c>
      <c r="U128" s="518">
        <v>14</v>
      </c>
      <c r="V128" s="390"/>
      <c r="X128" s="503"/>
    </row>
    <row r="129" spans="2:25" ht="27" customHeight="1" thickBot="1" x14ac:dyDescent="0.25">
      <c r="B129" s="132">
        <v>4</v>
      </c>
      <c r="C129" s="138" t="s">
        <v>92</v>
      </c>
      <c r="D129" s="176" t="e">
        <f>D13+D35-D41</f>
        <v>#REF!</v>
      </c>
      <c r="E129" s="135"/>
      <c r="F129" s="176">
        <f>F13+F35-F41</f>
        <v>3.7700000000004366</v>
      </c>
      <c r="G129" s="135"/>
      <c r="H129" s="176">
        <f>H13+H35-H41</f>
        <v>343.121000000001</v>
      </c>
      <c r="I129" s="135"/>
      <c r="J129" s="176">
        <f>J13+J35-J41</f>
        <v>44.100000000001273</v>
      </c>
      <c r="K129" s="587">
        <f>K13+K35-K41</f>
        <v>44.100000000000364</v>
      </c>
      <c r="L129" s="593"/>
      <c r="M129" s="587">
        <f>M13+M35-M41</f>
        <v>40.929999999998472</v>
      </c>
      <c r="N129" s="679"/>
      <c r="O129" s="705">
        <f>M129/K129</f>
        <v>0.92811791383215725</v>
      </c>
      <c r="P129" s="449"/>
      <c r="Q129" s="731"/>
      <c r="R129" s="414">
        <f>R13+R35-R41</f>
        <v>10.724999999999909</v>
      </c>
      <c r="S129" s="351">
        <f>S13+S35-S41</f>
        <v>10.725000000000136</v>
      </c>
      <c r="T129" s="353">
        <f>T13+T35-T41</f>
        <v>10.134999999999764</v>
      </c>
      <c r="U129" s="388">
        <f>U13+U35-U41</f>
        <v>12.525000000000091</v>
      </c>
      <c r="V129" s="390">
        <f>SUM(R129:U129)</f>
        <v>44.1099999999999</v>
      </c>
      <c r="X129" s="503">
        <f>R129+S129+T129+U129</f>
        <v>44.1099999999999</v>
      </c>
    </row>
    <row r="130" spans="2:25" ht="27.75" customHeight="1" x14ac:dyDescent="0.2">
      <c r="B130" s="64">
        <v>7</v>
      </c>
      <c r="C130" s="65" t="s">
        <v>90</v>
      </c>
      <c r="D130" s="169" t="e">
        <f>D129-#REF!</f>
        <v>#REF!</v>
      </c>
      <c r="E130" s="263"/>
      <c r="F130" s="84" t="e">
        <f>F129-#REF!</f>
        <v>#REF!</v>
      </c>
      <c r="G130" s="197"/>
      <c r="H130" s="169" t="e">
        <f>H129-#REF!</f>
        <v>#REF!</v>
      </c>
      <c r="I130" s="263"/>
      <c r="J130" s="264" t="e">
        <f>J129-#REF!</f>
        <v>#REF!</v>
      </c>
      <c r="K130" s="560">
        <f>K129</f>
        <v>44.100000000000364</v>
      </c>
      <c r="L130" s="264"/>
      <c r="M130" s="560">
        <f>M129</f>
        <v>40.929999999998472</v>
      </c>
      <c r="N130" s="639"/>
      <c r="O130" s="560"/>
      <c r="P130" s="639"/>
      <c r="Q130" s="728"/>
      <c r="R130" s="560" t="e">
        <f>R129-#REF!</f>
        <v>#REF!</v>
      </c>
      <c r="S130" s="581" t="e">
        <f>S129-#REF!</f>
        <v>#REF!</v>
      </c>
      <c r="T130" s="536" t="e">
        <f>T129-#REF!</f>
        <v>#REF!</v>
      </c>
      <c r="U130" s="536" t="e">
        <f>U129-#REF!</f>
        <v>#REF!</v>
      </c>
      <c r="V130" s="390"/>
      <c r="X130" s="199">
        <f>J46+J56+J74+J84+J107+J158+J164+J171</f>
        <v>289.45363934426229</v>
      </c>
      <c r="Y130" t="s">
        <v>219</v>
      </c>
    </row>
    <row r="131" spans="2:25" x14ac:dyDescent="0.2">
      <c r="B131" s="14">
        <v>8</v>
      </c>
      <c r="C131" s="26" t="s">
        <v>91</v>
      </c>
      <c r="D131" s="250">
        <v>31.3</v>
      </c>
      <c r="E131" s="263"/>
      <c r="F131" s="82">
        <v>0.7</v>
      </c>
      <c r="G131" s="93"/>
      <c r="H131" s="250" t="e">
        <f>H130*0.1805</f>
        <v>#REF!</v>
      </c>
      <c r="I131" s="263"/>
      <c r="J131" s="250" t="e">
        <f>J130*0.18</f>
        <v>#REF!</v>
      </c>
      <c r="K131" s="234">
        <v>7.9</v>
      </c>
      <c r="L131" s="250"/>
      <c r="M131" s="234">
        <f>M130*0.18</f>
        <v>7.3673999999997246</v>
      </c>
      <c r="N131" s="640"/>
      <c r="O131" s="234"/>
      <c r="P131" s="640"/>
      <c r="Q131" s="728"/>
      <c r="R131" s="234" t="e">
        <f>R130*0.18</f>
        <v>#REF!</v>
      </c>
      <c r="S131" s="250" t="e">
        <f>S130*0.18</f>
        <v>#REF!</v>
      </c>
      <c r="T131" s="537" t="e">
        <f>T130*0.18</f>
        <v>#REF!</v>
      </c>
      <c r="U131" s="537" t="e">
        <f>U130*0.18</f>
        <v>#REF!</v>
      </c>
      <c r="V131" s="390"/>
    </row>
    <row r="132" spans="2:25" ht="13.5" thickBot="1" x14ac:dyDescent="0.25">
      <c r="B132" s="64">
        <v>9</v>
      </c>
      <c r="C132" s="139" t="s">
        <v>93</v>
      </c>
      <c r="D132" s="265" t="e">
        <f>D130-D131</f>
        <v>#REF!</v>
      </c>
      <c r="E132" s="266"/>
      <c r="F132" s="109" t="e">
        <f>F130-F131</f>
        <v>#REF!</v>
      </c>
      <c r="G132" s="197"/>
      <c r="H132" s="265" t="e">
        <f>H130-H131</f>
        <v>#REF!</v>
      </c>
      <c r="I132" s="266"/>
      <c r="J132" s="265" t="e">
        <f>J130-J131</f>
        <v>#REF!</v>
      </c>
      <c r="K132" s="561">
        <f>K130-K131</f>
        <v>36.200000000000365</v>
      </c>
      <c r="L132" s="265"/>
      <c r="M132" s="561">
        <f>M130-M131</f>
        <v>33.562599999998746</v>
      </c>
      <c r="N132" s="641"/>
      <c r="O132" s="561"/>
      <c r="P132" s="641"/>
      <c r="Q132" s="734"/>
      <c r="R132" s="561" t="e">
        <f>R130-R131</f>
        <v>#REF!</v>
      </c>
      <c r="S132" s="192" t="e">
        <f>S130-S131</f>
        <v>#REF!</v>
      </c>
      <c r="T132" s="538" t="e">
        <f>T130-T131</f>
        <v>#REF!</v>
      </c>
      <c r="U132" s="538" t="e">
        <f>U130-U131</f>
        <v>#REF!</v>
      </c>
      <c r="V132" s="390"/>
    </row>
    <row r="133" spans="2:25" ht="13.5" thickBot="1" x14ac:dyDescent="0.25">
      <c r="B133" s="225">
        <v>10</v>
      </c>
      <c r="C133" s="227" t="s">
        <v>94</v>
      </c>
      <c r="D133" s="277" t="e">
        <f>(D13+D39)/D41</f>
        <v>#REF!</v>
      </c>
      <c r="E133" s="267"/>
      <c r="F133" s="277">
        <f>(F13+F35)/F41</f>
        <v>1.0006953243586694</v>
      </c>
      <c r="G133" s="226"/>
      <c r="H133" s="277">
        <f>(H13+H35)/H41</f>
        <v>1.0589223013357252</v>
      </c>
      <c r="I133" s="267"/>
      <c r="J133" s="277">
        <f>(J13+J35)/J41</f>
        <v>1.0076261953758627</v>
      </c>
      <c r="K133" s="562">
        <v>1.01</v>
      </c>
      <c r="L133" s="277"/>
      <c r="M133" s="562">
        <v>1.01</v>
      </c>
      <c r="N133" s="642"/>
      <c r="O133" s="562"/>
      <c r="P133" s="642"/>
      <c r="Q133" s="766"/>
      <c r="R133" s="583"/>
      <c r="S133" s="582"/>
      <c r="T133" s="129"/>
      <c r="U133" s="130"/>
      <c r="V133" s="390"/>
    </row>
    <row r="134" spans="2:25" ht="24.75" hidden="1" customHeight="1" x14ac:dyDescent="0.2">
      <c r="B134" s="47">
        <v>11</v>
      </c>
      <c r="C134" s="370" t="s">
        <v>95</v>
      </c>
      <c r="D134" s="260" t="e">
        <f>(D103+D102)/D15*100</f>
        <v>#REF!</v>
      </c>
      <c r="E134" s="364"/>
      <c r="F134" s="260">
        <f>(F103+F102)/F15*100</f>
        <v>95.065232069348539</v>
      </c>
      <c r="G134" s="767"/>
      <c r="H134" s="260">
        <f>(H103+H102)/H15*100</f>
        <v>96.962036073166075</v>
      </c>
      <c r="I134" s="364"/>
      <c r="J134" s="768">
        <v>105</v>
      </c>
      <c r="K134" s="769">
        <f>K15/(K102+K103)*100</f>
        <v>105.3316203629356</v>
      </c>
      <c r="L134" s="768"/>
      <c r="M134" s="769">
        <f>M15/(M102+M103)*100</f>
        <v>100.62062537618995</v>
      </c>
      <c r="N134" s="770"/>
      <c r="O134" s="769"/>
      <c r="P134" s="770"/>
      <c r="Q134" s="739"/>
      <c r="R134" s="280"/>
      <c r="S134" s="116"/>
      <c r="T134" s="116"/>
      <c r="U134" s="117"/>
      <c r="V134" s="390"/>
    </row>
    <row r="135" spans="2:25" hidden="1" x14ac:dyDescent="0.2">
      <c r="B135" s="14">
        <v>12</v>
      </c>
      <c r="C135" s="61" t="s">
        <v>122</v>
      </c>
      <c r="D135" s="250"/>
      <c r="E135" s="251"/>
      <c r="F135" s="82"/>
      <c r="G135" s="93"/>
      <c r="H135" s="250"/>
      <c r="I135" s="251"/>
      <c r="J135" s="159"/>
      <c r="K135" s="251"/>
      <c r="L135" s="159"/>
      <c r="M135" s="251"/>
      <c r="N135" s="633"/>
      <c r="O135" s="251"/>
      <c r="P135" s="633"/>
      <c r="Q135" s="727"/>
      <c r="R135" s="281"/>
      <c r="S135" s="87"/>
      <c r="T135" s="87"/>
      <c r="U135" s="88"/>
      <c r="V135" s="390"/>
    </row>
    <row r="136" spans="2:25" hidden="1" x14ac:dyDescent="0.2">
      <c r="B136" s="14" t="s">
        <v>132</v>
      </c>
      <c r="C136" s="61" t="s">
        <v>127</v>
      </c>
      <c r="D136" s="268">
        <f>D137+D138+D139</f>
        <v>883.81000000000006</v>
      </c>
      <c r="E136" s="234"/>
      <c r="F136" s="82">
        <f>F137+F138+F139</f>
        <v>911.7</v>
      </c>
      <c r="G136" s="93"/>
      <c r="H136" s="317">
        <f>H137+H138+H139</f>
        <v>911.96</v>
      </c>
      <c r="I136" s="234"/>
      <c r="J136" s="317">
        <f>J137+J138+J139</f>
        <v>1170.76</v>
      </c>
      <c r="K136" s="563">
        <v>1170.76</v>
      </c>
      <c r="L136" s="317"/>
      <c r="M136" s="563">
        <f>M137+M138+M139</f>
        <v>1170.76</v>
      </c>
      <c r="N136" s="643"/>
      <c r="O136" s="563"/>
      <c r="P136" s="643"/>
      <c r="Q136" s="727"/>
      <c r="R136" s="281"/>
      <c r="S136" s="87"/>
      <c r="T136" s="87"/>
      <c r="U136" s="88"/>
      <c r="V136" s="390"/>
    </row>
    <row r="137" spans="2:25" hidden="1" x14ac:dyDescent="0.2">
      <c r="B137" s="14"/>
      <c r="C137" s="75" t="s">
        <v>129</v>
      </c>
      <c r="D137" s="269">
        <v>860.07</v>
      </c>
      <c r="E137" s="270"/>
      <c r="F137" s="18">
        <v>885.8</v>
      </c>
      <c r="G137" s="177"/>
      <c r="H137" s="159">
        <v>886</v>
      </c>
      <c r="I137" s="270"/>
      <c r="J137" s="159">
        <v>1054.7</v>
      </c>
      <c r="K137" s="251">
        <v>1054.7</v>
      </c>
      <c r="L137" s="159"/>
      <c r="M137" s="251">
        <v>1054.7</v>
      </c>
      <c r="N137" s="633"/>
      <c r="O137" s="251"/>
      <c r="P137" s="633"/>
      <c r="Q137" s="727"/>
      <c r="R137" s="281"/>
      <c r="S137" s="87"/>
      <c r="T137" s="87"/>
      <c r="U137" s="88"/>
      <c r="V137" s="390"/>
    </row>
    <row r="138" spans="2:25" hidden="1" x14ac:dyDescent="0.2">
      <c r="B138" s="14"/>
      <c r="C138" s="75" t="s">
        <v>130</v>
      </c>
      <c r="D138" s="269">
        <v>11.84</v>
      </c>
      <c r="E138" s="270"/>
      <c r="F138" s="18">
        <v>9.6999999999999993</v>
      </c>
      <c r="G138" s="177"/>
      <c r="H138" s="159">
        <v>9.6999999999999993</v>
      </c>
      <c r="I138" s="270"/>
      <c r="J138" s="159">
        <v>71.7</v>
      </c>
      <c r="K138" s="251">
        <v>71.7</v>
      </c>
      <c r="L138" s="159"/>
      <c r="M138" s="251">
        <v>71.7</v>
      </c>
      <c r="N138" s="633"/>
      <c r="O138" s="251"/>
      <c r="P138" s="633"/>
      <c r="Q138" s="727"/>
      <c r="R138" s="281"/>
      <c r="S138" s="87"/>
      <c r="T138" s="87"/>
      <c r="U138" s="88"/>
      <c r="V138" s="390"/>
    </row>
    <row r="139" spans="2:25" ht="13.5" hidden="1" thickBot="1" x14ac:dyDescent="0.25">
      <c r="B139" s="69"/>
      <c r="C139" s="140" t="s">
        <v>131</v>
      </c>
      <c r="D139" s="271">
        <v>11.9</v>
      </c>
      <c r="E139" s="272"/>
      <c r="F139" s="33">
        <v>16.2</v>
      </c>
      <c r="G139" s="178"/>
      <c r="H139" s="276">
        <v>16.260000000000002</v>
      </c>
      <c r="I139" s="272"/>
      <c r="J139" s="276">
        <v>44.36</v>
      </c>
      <c r="K139" s="564">
        <v>44.36</v>
      </c>
      <c r="L139" s="276"/>
      <c r="M139" s="564">
        <v>44.36</v>
      </c>
      <c r="N139" s="644"/>
      <c r="O139" s="564"/>
      <c r="P139" s="644"/>
      <c r="Q139" s="744"/>
      <c r="R139" s="283"/>
      <c r="S139" s="126"/>
      <c r="T139" s="126"/>
      <c r="U139" s="127"/>
      <c r="V139" s="390"/>
    </row>
    <row r="140" spans="2:25" hidden="1" x14ac:dyDescent="0.2">
      <c r="B140" s="47" t="s">
        <v>132</v>
      </c>
      <c r="C140" s="370" t="s">
        <v>96</v>
      </c>
      <c r="D140" s="371">
        <f>D141+D142+D143</f>
        <v>43.048000000000002</v>
      </c>
      <c r="E140" s="355"/>
      <c r="F140" s="81"/>
      <c r="G140" s="105"/>
      <c r="H140" s="372">
        <f>H141+H142+H143</f>
        <v>281.2</v>
      </c>
      <c r="I140" s="355"/>
      <c r="J140" s="373" t="e">
        <f>J141+J142+J143</f>
        <v>#REF!</v>
      </c>
      <c r="K140" s="556">
        <v>36.200000000000003</v>
      </c>
      <c r="L140" s="373"/>
      <c r="M140" s="556">
        <v>33.6</v>
      </c>
      <c r="N140" s="632"/>
      <c r="O140" s="556"/>
      <c r="P140" s="632"/>
      <c r="Q140" s="748"/>
      <c r="R140" s="282"/>
      <c r="S140" s="123"/>
      <c r="T140" s="123"/>
      <c r="U140" s="124"/>
      <c r="V140" s="390"/>
    </row>
    <row r="141" spans="2:25" hidden="1" x14ac:dyDescent="0.2">
      <c r="B141" s="14" t="s">
        <v>0</v>
      </c>
      <c r="C141" s="75" t="s">
        <v>160</v>
      </c>
      <c r="D141" s="269">
        <v>25.84</v>
      </c>
      <c r="E141" s="251"/>
      <c r="F141" s="102"/>
      <c r="G141" s="19"/>
      <c r="H141" s="269">
        <v>168.7</v>
      </c>
      <c r="I141" s="251"/>
      <c r="J141" s="159" t="e">
        <f>J132*0.6</f>
        <v>#REF!</v>
      </c>
      <c r="K141" s="251">
        <v>21.7</v>
      </c>
      <c r="L141" s="159"/>
      <c r="M141" s="251">
        <v>20.100000000000001</v>
      </c>
      <c r="N141" s="633"/>
      <c r="O141" s="251"/>
      <c r="P141" s="633"/>
      <c r="Q141" s="727"/>
      <c r="R141" s="281"/>
      <c r="S141" s="87"/>
      <c r="T141" s="87"/>
      <c r="U141" s="88"/>
      <c r="V141" s="390"/>
    </row>
    <row r="142" spans="2:25" hidden="1" x14ac:dyDescent="0.2">
      <c r="B142" s="14"/>
      <c r="C142" s="75" t="s">
        <v>161</v>
      </c>
      <c r="D142" s="269">
        <v>12.904</v>
      </c>
      <c r="E142" s="251"/>
      <c r="F142" s="102"/>
      <c r="G142" s="19"/>
      <c r="H142" s="269">
        <v>84.4</v>
      </c>
      <c r="I142" s="251"/>
      <c r="J142" s="159" t="e">
        <f>J132*0.3</f>
        <v>#REF!</v>
      </c>
      <c r="K142" s="251">
        <v>10.8</v>
      </c>
      <c r="L142" s="159"/>
      <c r="M142" s="251">
        <v>10.1</v>
      </c>
      <c r="N142" s="633"/>
      <c r="O142" s="251"/>
      <c r="P142" s="633"/>
      <c r="Q142" s="727"/>
      <c r="R142" s="281"/>
      <c r="S142" s="87"/>
      <c r="T142" s="87"/>
      <c r="U142" s="88"/>
      <c r="V142" s="390"/>
    </row>
    <row r="143" spans="2:25" hidden="1" x14ac:dyDescent="0.2">
      <c r="B143" s="14"/>
      <c r="C143" s="75" t="s">
        <v>162</v>
      </c>
      <c r="D143" s="274">
        <v>4.3040000000000003</v>
      </c>
      <c r="E143" s="251"/>
      <c r="F143" s="102"/>
      <c r="G143" s="19"/>
      <c r="H143" s="274">
        <v>28.1</v>
      </c>
      <c r="I143" s="251"/>
      <c r="J143" s="159" t="e">
        <f>J132*0.1</f>
        <v>#REF!</v>
      </c>
      <c r="K143" s="251">
        <v>3.6</v>
      </c>
      <c r="L143" s="159"/>
      <c r="M143" s="251">
        <v>3.4</v>
      </c>
      <c r="N143" s="633"/>
      <c r="O143" s="251"/>
      <c r="P143" s="633"/>
      <c r="Q143" s="727"/>
      <c r="R143" s="281"/>
      <c r="S143" s="87"/>
      <c r="T143" s="87"/>
      <c r="U143" s="88"/>
      <c r="V143" s="390"/>
    </row>
    <row r="144" spans="2:25" hidden="1" x14ac:dyDescent="0.2">
      <c r="B144" s="14" t="s">
        <v>132</v>
      </c>
      <c r="C144" s="61" t="s">
        <v>97</v>
      </c>
      <c r="D144" s="268">
        <f>D146</f>
        <v>15</v>
      </c>
      <c r="E144" s="234"/>
      <c r="F144" s="10"/>
      <c r="G144" s="13"/>
      <c r="H144" s="268">
        <f>H146</f>
        <v>22.4</v>
      </c>
      <c r="I144" s="234"/>
      <c r="J144" s="250"/>
      <c r="K144" s="234"/>
      <c r="L144" s="250"/>
      <c r="M144" s="234">
        <f>M145+M146+M147</f>
        <v>31.1</v>
      </c>
      <c r="N144" s="640"/>
      <c r="O144" s="234"/>
      <c r="P144" s="640"/>
      <c r="Q144" s="727"/>
      <c r="R144" s="281"/>
      <c r="S144" s="87"/>
      <c r="T144" s="87"/>
      <c r="U144" s="88"/>
      <c r="V144" s="390"/>
    </row>
    <row r="145" spans="2:24" hidden="1" x14ac:dyDescent="0.2">
      <c r="B145" s="14"/>
      <c r="C145" s="75" t="s">
        <v>129</v>
      </c>
      <c r="D145" s="250" t="s">
        <v>132</v>
      </c>
      <c r="E145" s="251"/>
      <c r="F145" s="82"/>
      <c r="G145" s="19"/>
      <c r="H145" s="250" t="s">
        <v>132</v>
      </c>
      <c r="I145" s="251"/>
      <c r="J145" s="159"/>
      <c r="K145" s="251"/>
      <c r="L145" s="159"/>
      <c r="M145" s="251">
        <v>0</v>
      </c>
      <c r="N145" s="633"/>
      <c r="O145" s="251"/>
      <c r="P145" s="633"/>
      <c r="Q145" s="727"/>
      <c r="R145" s="281"/>
      <c r="S145" s="87"/>
      <c r="T145" s="87"/>
      <c r="U145" s="88"/>
      <c r="V145" s="390"/>
    </row>
    <row r="146" spans="2:24" hidden="1" x14ac:dyDescent="0.2">
      <c r="B146" s="14"/>
      <c r="C146" s="75" t="s">
        <v>130</v>
      </c>
      <c r="D146" s="159">
        <v>15</v>
      </c>
      <c r="E146" s="251"/>
      <c r="F146" s="12"/>
      <c r="G146" s="19"/>
      <c r="H146" s="159">
        <v>22.4</v>
      </c>
      <c r="I146" s="251"/>
      <c r="J146" s="159"/>
      <c r="K146" s="251"/>
      <c r="L146" s="159"/>
      <c r="M146" s="251">
        <v>31.1</v>
      </c>
      <c r="N146" s="633"/>
      <c r="O146" s="251"/>
      <c r="P146" s="633"/>
      <c r="Q146" s="727"/>
      <c r="R146" s="281"/>
      <c r="S146" s="87"/>
      <c r="T146" s="87"/>
      <c r="U146" s="88"/>
      <c r="V146" s="390"/>
    </row>
    <row r="147" spans="2:24" ht="13.5" hidden="1" thickBot="1" x14ac:dyDescent="0.25">
      <c r="B147" s="141"/>
      <c r="C147" s="140" t="s">
        <v>131</v>
      </c>
      <c r="D147" s="192" t="s">
        <v>132</v>
      </c>
      <c r="E147" s="275"/>
      <c r="F147" s="107"/>
      <c r="G147" s="34"/>
      <c r="H147" s="192" t="s">
        <v>132</v>
      </c>
      <c r="I147" s="275"/>
      <c r="J147" s="273"/>
      <c r="K147" s="275"/>
      <c r="L147" s="273"/>
      <c r="M147" s="275">
        <v>0</v>
      </c>
      <c r="N147" s="645"/>
      <c r="O147" s="275"/>
      <c r="P147" s="645"/>
      <c r="Q147" s="744"/>
      <c r="R147" s="283"/>
      <c r="S147" s="126"/>
      <c r="T147" s="126"/>
      <c r="U147" s="127"/>
      <c r="V147" s="390"/>
      <c r="W147" t="s">
        <v>0</v>
      </c>
    </row>
    <row r="148" spans="2:24" hidden="1" x14ac:dyDescent="0.2">
      <c r="B148" s="47" t="s">
        <v>132</v>
      </c>
      <c r="C148" s="370" t="s">
        <v>128</v>
      </c>
      <c r="D148" s="374">
        <f>D149+D150+D151</f>
        <v>911.96</v>
      </c>
      <c r="E148" s="364"/>
      <c r="F148" s="81"/>
      <c r="G148" s="36"/>
      <c r="H148" s="374">
        <f>H149+H150+H151</f>
        <v>1170.76</v>
      </c>
      <c r="I148" s="364"/>
      <c r="J148" s="260"/>
      <c r="K148" s="364"/>
      <c r="L148" s="260"/>
      <c r="M148" s="772">
        <f>M149+M150+M151</f>
        <v>1173.26</v>
      </c>
      <c r="N148" s="646"/>
      <c r="O148" s="364"/>
      <c r="P148" s="646"/>
      <c r="Q148" s="748"/>
      <c r="R148" s="282"/>
      <c r="S148" s="123"/>
      <c r="T148" s="123"/>
      <c r="U148" s="124"/>
      <c r="V148" s="390"/>
    </row>
    <row r="149" spans="2:24" hidden="1" x14ac:dyDescent="0.2">
      <c r="B149" s="25"/>
      <c r="C149" s="75" t="s">
        <v>129</v>
      </c>
      <c r="D149" s="159">
        <v>886</v>
      </c>
      <c r="E149" s="251"/>
      <c r="F149" s="12"/>
      <c r="G149" s="19"/>
      <c r="H149" s="159">
        <v>1054.7</v>
      </c>
      <c r="I149" s="251"/>
      <c r="J149" s="159"/>
      <c r="K149" s="251"/>
      <c r="L149" s="159"/>
      <c r="M149" s="251">
        <f>M137+M141-M145</f>
        <v>1074.8</v>
      </c>
      <c r="N149" s="633"/>
      <c r="O149" s="251"/>
      <c r="P149" s="633"/>
      <c r="Q149" s="727"/>
      <c r="R149" s="281"/>
      <c r="S149" s="87"/>
      <c r="T149" s="87"/>
      <c r="U149" s="88"/>
      <c r="V149" s="390"/>
    </row>
    <row r="150" spans="2:24" hidden="1" x14ac:dyDescent="0.2">
      <c r="B150" s="25"/>
      <c r="C150" s="75" t="s">
        <v>130</v>
      </c>
      <c r="D150" s="159">
        <v>9.6999999999999993</v>
      </c>
      <c r="E150" s="251"/>
      <c r="F150" s="12"/>
      <c r="G150" s="19"/>
      <c r="H150" s="159">
        <v>71.7</v>
      </c>
      <c r="I150" s="251"/>
      <c r="J150" s="159"/>
      <c r="K150" s="251"/>
      <c r="L150" s="159"/>
      <c r="M150" s="251">
        <f>M138+M142-M146</f>
        <v>50.699999999999996</v>
      </c>
      <c r="N150" s="633"/>
      <c r="O150" s="251"/>
      <c r="P150" s="633"/>
      <c r="Q150" s="727"/>
      <c r="R150" s="281"/>
      <c r="S150" s="87"/>
      <c r="T150" s="87"/>
      <c r="U150" s="88"/>
    </row>
    <row r="151" spans="2:24" ht="13.5" hidden="1" thickBot="1" x14ac:dyDescent="0.25">
      <c r="B151" s="141"/>
      <c r="C151" s="140" t="s">
        <v>131</v>
      </c>
      <c r="D151" s="276">
        <v>16.260000000000002</v>
      </c>
      <c r="E151" s="275"/>
      <c r="F151" s="160"/>
      <c r="G151" s="34"/>
      <c r="H151" s="276">
        <v>44.36</v>
      </c>
      <c r="I151" s="275"/>
      <c r="J151" s="273"/>
      <c r="K151" s="275"/>
      <c r="L151" s="273"/>
      <c r="M151" s="263">
        <f>M139+M143-M147</f>
        <v>47.76</v>
      </c>
      <c r="N151" s="645"/>
      <c r="O151" s="275"/>
      <c r="P151" s="645"/>
      <c r="Q151" s="744"/>
      <c r="R151" s="283"/>
      <c r="S151" s="126"/>
      <c r="T151" s="126"/>
      <c r="U151" s="127"/>
    </row>
    <row r="152" spans="2:24" hidden="1" x14ac:dyDescent="0.2">
      <c r="B152" s="47"/>
      <c r="C152" s="136" t="s">
        <v>76</v>
      </c>
      <c r="D152" s="310"/>
      <c r="E152" s="311"/>
      <c r="F152" s="81"/>
      <c r="G152" s="309"/>
      <c r="H152" s="310"/>
      <c r="I152" s="311"/>
      <c r="J152" s="312"/>
      <c r="K152" s="565"/>
      <c r="L152" s="312"/>
      <c r="M152" s="565"/>
      <c r="N152" s="647"/>
      <c r="O152" s="565"/>
      <c r="P152" s="647"/>
      <c r="Q152" s="748"/>
      <c r="R152" s="588"/>
      <c r="S152" s="589"/>
      <c r="T152" s="123"/>
      <c r="U152" s="124"/>
    </row>
    <row r="153" spans="2:24" ht="13.5" hidden="1" thickBot="1" x14ac:dyDescent="0.25">
      <c r="B153" s="221"/>
      <c r="C153" s="137" t="s">
        <v>141</v>
      </c>
      <c r="D153" s="180" t="e">
        <f>D154/#REF!*100</f>
        <v>#REF!</v>
      </c>
      <c r="E153" s="182"/>
      <c r="F153" s="179" t="e">
        <f>F154/#REF!*100</f>
        <v>#REF!</v>
      </c>
      <c r="G153" s="157"/>
      <c r="H153" s="180" t="e">
        <f>H154/#REF!*100</f>
        <v>#REF!</v>
      </c>
      <c r="I153" s="182"/>
      <c r="J153" s="179" t="e">
        <f>(J154-J110)/(#REF!)*100</f>
        <v>#REF!</v>
      </c>
      <c r="K153" s="566">
        <v>78.349999999999994</v>
      </c>
      <c r="L153" s="179"/>
      <c r="M153" s="182">
        <v>104</v>
      </c>
      <c r="N153" s="648"/>
      <c r="O153" s="182"/>
      <c r="P153" s="648"/>
      <c r="Q153" s="733"/>
      <c r="R153" s="415"/>
      <c r="S153" s="143"/>
      <c r="T153" s="143"/>
      <c r="U153" s="144"/>
      <c r="X153" s="199">
        <f>J49+J59+J78+J88+J97+J110</f>
        <v>1032.2</v>
      </c>
    </row>
    <row r="154" spans="2:24" hidden="1" x14ac:dyDescent="0.2">
      <c r="B154" s="47">
        <v>13</v>
      </c>
      <c r="C154" s="48" t="s">
        <v>77</v>
      </c>
      <c r="D154" s="37">
        <f>D155+D161+D167+D168+D174</f>
        <v>1070.3999999999999</v>
      </c>
      <c r="E154" s="36">
        <f>D154/12/2.868</f>
        <v>31.101813110181308</v>
      </c>
      <c r="F154" s="37">
        <f>F155+F161+F167+F168+F174</f>
        <v>1032.2</v>
      </c>
      <c r="G154" s="36">
        <f>F154/12/2.868</f>
        <v>29.991864249186428</v>
      </c>
      <c r="H154" s="37">
        <f>H155+H161+H167+H168+H174-H118</f>
        <v>1243.8000000000002</v>
      </c>
      <c r="I154" s="36">
        <f>H154/12/2.868</f>
        <v>36.140167364016747</v>
      </c>
      <c r="J154" s="162">
        <f>J155+J161+J167+J168+J174</f>
        <v>1032.1754400000002</v>
      </c>
      <c r="K154" s="551">
        <f>K155+K161+K167+K168+K174</f>
        <v>1032.2</v>
      </c>
      <c r="L154" s="162"/>
      <c r="M154" s="551">
        <v>1089.5</v>
      </c>
      <c r="N154" s="440"/>
      <c r="O154" s="551"/>
      <c r="P154" s="440"/>
      <c r="Q154" s="36">
        <f>J154/12/2.868</f>
        <v>29.99115062761507</v>
      </c>
      <c r="R154" s="486">
        <f>R155+R161+R167+R168</f>
        <v>258.10000000000002</v>
      </c>
      <c r="S154" s="487">
        <f>S155+S161+S167+S168</f>
        <v>258.00000000000006</v>
      </c>
      <c r="T154" s="487">
        <f>T155+T161+T167+T168</f>
        <v>258.10000000000002</v>
      </c>
      <c r="U154" s="493">
        <f>U155+U161+U167+U168</f>
        <v>258</v>
      </c>
      <c r="X154" s="350">
        <f t="shared" ref="X154:X172" si="20">SUM(R154:W154)</f>
        <v>1032.2000000000003</v>
      </c>
    </row>
    <row r="155" spans="2:24" ht="13.5" hidden="1" thickBot="1" x14ac:dyDescent="0.25">
      <c r="B155" s="28" t="s">
        <v>98</v>
      </c>
      <c r="C155" s="26" t="s">
        <v>78</v>
      </c>
      <c r="D155" s="42">
        <f>SUM(D156:D160)</f>
        <v>911.09999999999991</v>
      </c>
      <c r="E155" s="13">
        <f>D155/12/2.868</f>
        <v>26.473152022315201</v>
      </c>
      <c r="F155" s="82">
        <v>853.5</v>
      </c>
      <c r="G155" s="41">
        <f>F155/12/2.868</f>
        <v>24.799511854951188</v>
      </c>
      <c r="H155" s="42">
        <f>SUM(H156:H160)</f>
        <v>1104.7</v>
      </c>
      <c r="I155" s="13">
        <f>H155/12/2.868</f>
        <v>32.098442584844264</v>
      </c>
      <c r="J155" s="42">
        <f>SUM(J156:J160)</f>
        <v>853.46968000000004</v>
      </c>
      <c r="K155" s="41">
        <v>853.5</v>
      </c>
      <c r="L155" s="42"/>
      <c r="M155" s="41">
        <v>1045.9000000000001</v>
      </c>
      <c r="N155" s="458"/>
      <c r="O155" s="41"/>
      <c r="P155" s="676"/>
      <c r="Q155" s="13">
        <f>J155/12/2.868</f>
        <v>24.798630869363087</v>
      </c>
      <c r="R155" s="391">
        <f>SUM(R156:R160)</f>
        <v>213.40000000000003</v>
      </c>
      <c r="S155" s="90">
        <f>SUM(S156:S160)</f>
        <v>213.40000000000003</v>
      </c>
      <c r="T155" s="90">
        <f>SUM(T156:T160)</f>
        <v>213.40000000000003</v>
      </c>
      <c r="U155" s="91">
        <f>SUM(U156:U160)</f>
        <v>213.3</v>
      </c>
      <c r="V155" s="492">
        <f>V156+V157+V159+V160</f>
        <v>0</v>
      </c>
      <c r="W155" s="289">
        <f>W156+W157+W159+W160</f>
        <v>0</v>
      </c>
      <c r="X155" s="350">
        <f t="shared" si="20"/>
        <v>853.5</v>
      </c>
    </row>
    <row r="156" spans="2:24" ht="13.5" hidden="1" thickBot="1" x14ac:dyDescent="0.25">
      <c r="B156" s="28"/>
      <c r="C156" s="15" t="s">
        <v>70</v>
      </c>
      <c r="D156" s="39">
        <v>502.9</v>
      </c>
      <c r="E156" s="13"/>
      <c r="F156" s="726">
        <v>419.2</v>
      </c>
      <c r="G156" s="41"/>
      <c r="H156" s="39">
        <v>562.20000000000005</v>
      </c>
      <c r="I156" s="13"/>
      <c r="J156" s="102">
        <v>419.2</v>
      </c>
      <c r="K156" s="89">
        <f>R156+S156</f>
        <v>209.6</v>
      </c>
      <c r="L156" s="102"/>
      <c r="M156" s="89"/>
      <c r="N156" s="236"/>
      <c r="O156" s="89"/>
      <c r="P156" s="236"/>
      <c r="Q156" s="727"/>
      <c r="R156" s="406">
        <v>104.8</v>
      </c>
      <c r="S156" s="319">
        <v>104.8</v>
      </c>
      <c r="T156" s="319">
        <v>104.8</v>
      </c>
      <c r="U156" s="320">
        <v>104.8</v>
      </c>
      <c r="X156" s="419">
        <f t="shared" si="20"/>
        <v>419.2</v>
      </c>
    </row>
    <row r="157" spans="2:24" ht="13.5" hidden="1" thickBot="1" x14ac:dyDescent="0.25">
      <c r="B157" s="28"/>
      <c r="C157" s="15" t="s">
        <v>71</v>
      </c>
      <c r="D157" s="39">
        <v>43.3</v>
      </c>
      <c r="E157" s="13"/>
      <c r="F157" s="726">
        <v>119.2</v>
      </c>
      <c r="G157" s="41"/>
      <c r="H157" s="39">
        <v>68.3</v>
      </c>
      <c r="I157" s="13"/>
      <c r="J157" s="102">
        <v>119.2</v>
      </c>
      <c r="K157" s="89">
        <f>R157+S157</f>
        <v>59.6</v>
      </c>
      <c r="L157" s="102"/>
      <c r="M157" s="89"/>
      <c r="N157" s="236"/>
      <c r="O157" s="89"/>
      <c r="P157" s="236"/>
      <c r="Q157" s="727"/>
      <c r="R157" s="406">
        <v>29.8</v>
      </c>
      <c r="S157" s="319">
        <v>29.8</v>
      </c>
      <c r="T157" s="319">
        <v>29.8</v>
      </c>
      <c r="U157" s="320">
        <v>29.8</v>
      </c>
      <c r="X157" s="419">
        <f t="shared" si="20"/>
        <v>119.2</v>
      </c>
    </row>
    <row r="158" spans="2:24" ht="13.5" hidden="1" thickBot="1" x14ac:dyDescent="0.25">
      <c r="B158" s="28"/>
      <c r="C158" s="15" t="s">
        <v>218</v>
      </c>
      <c r="D158" s="39"/>
      <c r="E158" s="13"/>
      <c r="F158" s="726"/>
      <c r="G158" s="41"/>
      <c r="H158" s="39"/>
      <c r="I158" s="13"/>
      <c r="J158" s="102">
        <f>((J156+J157)*0.3677-(J156+J157)*0.22)/1.22</f>
        <v>65.181704918032807</v>
      </c>
      <c r="K158" s="89">
        <f>R158+S158</f>
        <v>32.6</v>
      </c>
      <c r="L158" s="102"/>
      <c r="M158" s="89"/>
      <c r="N158" s="236"/>
      <c r="O158" s="89"/>
      <c r="P158" s="236"/>
      <c r="Q158" s="727"/>
      <c r="R158" s="494">
        <v>16.3</v>
      </c>
      <c r="S158" s="327">
        <v>16.3</v>
      </c>
      <c r="T158" s="327">
        <v>16.3</v>
      </c>
      <c r="U158" s="320">
        <v>16.3</v>
      </c>
      <c r="X158" s="419">
        <f t="shared" si="20"/>
        <v>65.2</v>
      </c>
    </row>
    <row r="159" spans="2:24" ht="13.5" hidden="1" thickBot="1" x14ac:dyDescent="0.25">
      <c r="B159" s="28"/>
      <c r="C159" s="15" t="s">
        <v>79</v>
      </c>
      <c r="D159" s="39">
        <v>202.7</v>
      </c>
      <c r="E159" s="13"/>
      <c r="F159" s="726">
        <v>198</v>
      </c>
      <c r="G159" s="41"/>
      <c r="H159" s="39">
        <v>235.7</v>
      </c>
      <c r="I159" s="13"/>
      <c r="J159" s="102">
        <f>(J156+J157+J158)*0.22</f>
        <v>132.7879750819672</v>
      </c>
      <c r="K159" s="89">
        <f>R159+S159</f>
        <v>66.400000000000006</v>
      </c>
      <c r="L159" s="102"/>
      <c r="M159" s="89"/>
      <c r="N159" s="236"/>
      <c r="O159" s="89"/>
      <c r="P159" s="236"/>
      <c r="Q159" s="727"/>
      <c r="R159" s="494">
        <v>33.200000000000003</v>
      </c>
      <c r="S159" s="327">
        <v>33.200000000000003</v>
      </c>
      <c r="T159" s="327">
        <v>33.200000000000003</v>
      </c>
      <c r="U159" s="320">
        <v>33.200000000000003</v>
      </c>
      <c r="X159" s="419">
        <f t="shared" si="20"/>
        <v>132.80000000000001</v>
      </c>
    </row>
    <row r="160" spans="2:24" ht="13.5" hidden="1" thickBot="1" x14ac:dyDescent="0.25">
      <c r="B160" s="167"/>
      <c r="C160" s="146" t="s">
        <v>73</v>
      </c>
      <c r="D160" s="149">
        <v>162.19999999999999</v>
      </c>
      <c r="E160" s="147"/>
      <c r="F160" s="749">
        <v>117.1</v>
      </c>
      <c r="G160" s="148"/>
      <c r="H160" s="149">
        <v>238.5</v>
      </c>
      <c r="I160" s="147"/>
      <c r="J160" s="166">
        <v>117.1</v>
      </c>
      <c r="K160" s="155">
        <f>R160+S160</f>
        <v>58.6</v>
      </c>
      <c r="L160" s="166"/>
      <c r="M160" s="155"/>
      <c r="N160" s="664"/>
      <c r="O160" s="155"/>
      <c r="P160" s="664"/>
      <c r="Q160" s="744"/>
      <c r="R160" s="416">
        <v>29.3</v>
      </c>
      <c r="S160" s="417">
        <v>29.3</v>
      </c>
      <c r="T160" s="417">
        <v>29.3</v>
      </c>
      <c r="U160" s="418">
        <v>29.2</v>
      </c>
      <c r="X160" s="419">
        <f t="shared" si="20"/>
        <v>117.10000000000001</v>
      </c>
    </row>
    <row r="161" spans="2:24" ht="13.5" hidden="1" thickBot="1" x14ac:dyDescent="0.25">
      <c r="B161" s="290" t="s">
        <v>99</v>
      </c>
      <c r="C161" s="145" t="s">
        <v>80</v>
      </c>
      <c r="D161" s="42">
        <f>SUM(D162:D166)</f>
        <v>87.4</v>
      </c>
      <c r="E161" s="41">
        <f>D161/12/2.868</f>
        <v>2.539516503951651</v>
      </c>
      <c r="F161" s="83">
        <v>85.5</v>
      </c>
      <c r="G161" s="41">
        <f>F161/12/2.868</f>
        <v>2.4843096234309625</v>
      </c>
      <c r="H161" s="42">
        <f>SUM(H162:H166)</f>
        <v>79.900000000000006</v>
      </c>
      <c r="I161" s="41">
        <f>H161/12/2.868</f>
        <v>2.3215946071594611</v>
      </c>
      <c r="J161" s="42">
        <f>SUM(J162:J166)</f>
        <v>85.483270000000005</v>
      </c>
      <c r="K161" s="41">
        <v>85.5</v>
      </c>
      <c r="L161" s="42"/>
      <c r="M161" s="41">
        <v>103</v>
      </c>
      <c r="N161" s="458"/>
      <c r="O161" s="41"/>
      <c r="P161" s="676"/>
      <c r="Q161" s="41">
        <f>J161/12/2.868</f>
        <v>2.4838235123198515</v>
      </c>
      <c r="R161" s="42">
        <f>SUM(R162:R166)</f>
        <v>21.4</v>
      </c>
      <c r="S161" s="495">
        <f>SUM(S162:S166)</f>
        <v>21.4</v>
      </c>
      <c r="T161" s="495">
        <f>SUM(T162:T166)</f>
        <v>21.4</v>
      </c>
      <c r="U161" s="521">
        <f>SUM(U162:U166)</f>
        <v>21.299999999999997</v>
      </c>
      <c r="X161" s="350">
        <f t="shared" si="20"/>
        <v>85.499999999999986</v>
      </c>
    </row>
    <row r="162" spans="2:24" ht="13.5" hidden="1" thickBot="1" x14ac:dyDescent="0.25">
      <c r="B162" s="28"/>
      <c r="C162" s="15" t="s">
        <v>70</v>
      </c>
      <c r="D162" s="39">
        <v>37.5</v>
      </c>
      <c r="E162" s="13"/>
      <c r="F162" s="726">
        <v>34.700000000000003</v>
      </c>
      <c r="G162" s="41"/>
      <c r="H162" s="39">
        <v>25.9</v>
      </c>
      <c r="I162" s="13"/>
      <c r="J162" s="39">
        <v>34.700000000000003</v>
      </c>
      <c r="K162" s="660">
        <f>R162+S162</f>
        <v>17.299999999999997</v>
      </c>
      <c r="L162" s="494"/>
      <c r="M162" s="89"/>
      <c r="N162" s="682"/>
      <c r="O162" s="546"/>
      <c r="P162" s="621"/>
      <c r="Q162" s="727"/>
      <c r="R162" s="494">
        <v>8.6</v>
      </c>
      <c r="S162" s="327">
        <v>8.6999999999999993</v>
      </c>
      <c r="T162" s="327">
        <v>8.6999999999999993</v>
      </c>
      <c r="U162" s="320">
        <v>8.6999999999999993</v>
      </c>
      <c r="X162" s="350">
        <f t="shared" si="20"/>
        <v>34.699999999999996</v>
      </c>
    </row>
    <row r="163" spans="2:24" ht="13.5" hidden="1" thickBot="1" x14ac:dyDescent="0.25">
      <c r="B163" s="28"/>
      <c r="C163" s="15" t="s">
        <v>71</v>
      </c>
      <c r="D163" s="39">
        <v>3</v>
      </c>
      <c r="E163" s="13"/>
      <c r="F163" s="726">
        <v>10.4</v>
      </c>
      <c r="G163" s="41"/>
      <c r="H163" s="39">
        <v>3.4</v>
      </c>
      <c r="I163" s="13"/>
      <c r="J163" s="39">
        <v>10.4</v>
      </c>
      <c r="K163" s="89">
        <f>R163+S163</f>
        <v>5.2</v>
      </c>
      <c r="L163" s="204"/>
      <c r="M163" s="546"/>
      <c r="N163" s="682"/>
      <c r="O163" s="546"/>
      <c r="P163" s="621"/>
      <c r="Q163" s="727"/>
      <c r="R163" s="494">
        <f>J163/4</f>
        <v>2.6</v>
      </c>
      <c r="S163" s="327">
        <v>2.6</v>
      </c>
      <c r="T163" s="327">
        <f>J163/4</f>
        <v>2.6</v>
      </c>
      <c r="U163" s="320">
        <f>J163/4</f>
        <v>2.6</v>
      </c>
      <c r="X163" s="350">
        <f t="shared" si="20"/>
        <v>10.4</v>
      </c>
    </row>
    <row r="164" spans="2:24" ht="13.5" hidden="1" thickBot="1" x14ac:dyDescent="0.25">
      <c r="B164" s="28"/>
      <c r="C164" s="15" t="s">
        <v>218</v>
      </c>
      <c r="D164" s="39"/>
      <c r="E164" s="13"/>
      <c r="F164" s="726"/>
      <c r="G164" s="41"/>
      <c r="H164" s="39"/>
      <c r="I164" s="13"/>
      <c r="J164" s="102">
        <f>((J162+J163)*0.3677-(J162+J163)*0.22)/1.22</f>
        <v>5.460057377049182</v>
      </c>
      <c r="K164" s="89">
        <f>R164+S164</f>
        <v>2.8</v>
      </c>
      <c r="L164" s="102"/>
      <c r="M164" s="89"/>
      <c r="N164" s="236"/>
      <c r="O164" s="89"/>
      <c r="P164" s="236"/>
      <c r="Q164" s="727"/>
      <c r="R164" s="102">
        <v>1.4</v>
      </c>
      <c r="S164" s="327">
        <v>1.4</v>
      </c>
      <c r="T164" s="327">
        <v>1.4</v>
      </c>
      <c r="U164" s="320">
        <v>1.3</v>
      </c>
      <c r="X164" s="350">
        <f t="shared" si="20"/>
        <v>5.4999999999999991</v>
      </c>
    </row>
    <row r="165" spans="2:24" ht="13.5" hidden="1" thickBot="1" x14ac:dyDescent="0.25">
      <c r="B165" s="28"/>
      <c r="C165" s="15" t="s">
        <v>79</v>
      </c>
      <c r="D165" s="39">
        <v>14.9</v>
      </c>
      <c r="E165" s="13"/>
      <c r="F165" s="726">
        <v>16.600000000000001</v>
      </c>
      <c r="G165" s="41"/>
      <c r="H165" s="39">
        <v>10.7</v>
      </c>
      <c r="I165" s="13"/>
      <c r="J165" s="102">
        <f>(J162+J163+J164)*0.22</f>
        <v>11.12321262295082</v>
      </c>
      <c r="K165" s="89">
        <f>R165+S165</f>
        <v>5.6</v>
      </c>
      <c r="L165" s="102"/>
      <c r="M165" s="89"/>
      <c r="N165" s="236"/>
      <c r="O165" s="89"/>
      <c r="P165" s="236"/>
      <c r="Q165" s="727"/>
      <c r="R165" s="102">
        <v>2.8</v>
      </c>
      <c r="S165" s="327">
        <v>2.8</v>
      </c>
      <c r="T165" s="327">
        <v>2.7</v>
      </c>
      <c r="U165" s="320">
        <v>2.8</v>
      </c>
      <c r="X165" s="350">
        <f t="shared" si="20"/>
        <v>11.100000000000001</v>
      </c>
    </row>
    <row r="166" spans="2:24" ht="13.5" hidden="1" thickBot="1" x14ac:dyDescent="0.25">
      <c r="B166" s="72"/>
      <c r="C166" s="150" t="s">
        <v>73</v>
      </c>
      <c r="D166" s="153">
        <v>32</v>
      </c>
      <c r="E166" s="151"/>
      <c r="F166" s="732">
        <v>23.8</v>
      </c>
      <c r="G166" s="152"/>
      <c r="H166" s="153">
        <v>39.9</v>
      </c>
      <c r="I166" s="151"/>
      <c r="J166" s="153">
        <v>23.8</v>
      </c>
      <c r="K166" s="89">
        <f>R166+S166</f>
        <v>11.9</v>
      </c>
      <c r="L166" s="322"/>
      <c r="M166" s="576"/>
      <c r="N166" s="683"/>
      <c r="O166" s="576"/>
      <c r="P166" s="626"/>
      <c r="Q166" s="733"/>
      <c r="R166" s="496">
        <v>6</v>
      </c>
      <c r="S166" s="497">
        <v>5.9</v>
      </c>
      <c r="T166" s="498">
        <v>6</v>
      </c>
      <c r="U166" s="418">
        <v>5.9</v>
      </c>
      <c r="X166" s="350">
        <f t="shared" si="20"/>
        <v>23.799999999999997</v>
      </c>
    </row>
    <row r="167" spans="2:24" ht="13.5" hidden="1" thickBot="1" x14ac:dyDescent="0.25">
      <c r="B167" s="291" t="s">
        <v>174</v>
      </c>
      <c r="C167" s="111" t="s">
        <v>81</v>
      </c>
      <c r="D167" s="120">
        <v>3.4</v>
      </c>
      <c r="E167" s="154">
        <f>D167/12/2.868</f>
        <v>9.8791259879125987E-2</v>
      </c>
      <c r="F167" s="112">
        <v>6.1</v>
      </c>
      <c r="G167" s="154">
        <f>F167/12/2.868</f>
        <v>0.17724314272431427</v>
      </c>
      <c r="H167" s="120">
        <v>3.8</v>
      </c>
      <c r="I167" s="154">
        <f>H167/12/2.868</f>
        <v>0.11041376104137611</v>
      </c>
      <c r="J167" s="120">
        <v>6.1</v>
      </c>
      <c r="K167" s="154">
        <v>6.1</v>
      </c>
      <c r="L167" s="120"/>
      <c r="M167" s="154">
        <v>5</v>
      </c>
      <c r="N167" s="628"/>
      <c r="O167" s="154"/>
      <c r="P167" s="628"/>
      <c r="Q167" s="154">
        <f>J167/12/2.868</f>
        <v>0.17724314272431427</v>
      </c>
      <c r="R167" s="399">
        <v>1.5</v>
      </c>
      <c r="S167" s="393">
        <v>1.5</v>
      </c>
      <c r="T167" s="393">
        <v>1.5</v>
      </c>
      <c r="U167" s="400">
        <v>1.6</v>
      </c>
      <c r="X167" s="350">
        <f t="shared" si="20"/>
        <v>6.1</v>
      </c>
    </row>
    <row r="168" spans="2:24" hidden="1" x14ac:dyDescent="0.2">
      <c r="B168" s="292" t="s">
        <v>173</v>
      </c>
      <c r="C168" s="145" t="s">
        <v>82</v>
      </c>
      <c r="D168" s="42">
        <f>SUM(D169:D173)</f>
        <v>31.6</v>
      </c>
      <c r="E168" s="41">
        <f>D168/12/2.868</f>
        <v>0.91817759181775926</v>
      </c>
      <c r="F168" s="83">
        <v>87.1</v>
      </c>
      <c r="G168" s="41">
        <f>F168/12/2.868</f>
        <v>2.5307996280799627</v>
      </c>
      <c r="H168" s="42">
        <f>SUM(H169:H173)</f>
        <v>41.3</v>
      </c>
      <c r="I168" s="41">
        <f>H168/12/2.868</f>
        <v>1.2000232450023245</v>
      </c>
      <c r="J168" s="42">
        <f>SUM(J169:J173)</f>
        <v>87.122489999999999</v>
      </c>
      <c r="K168" s="41">
        <v>87.1</v>
      </c>
      <c r="L168" s="42"/>
      <c r="M168" s="603">
        <v>45.2</v>
      </c>
      <c r="N168" s="603"/>
      <c r="O168" s="41"/>
      <c r="P168" s="624"/>
      <c r="Q168" s="41">
        <f>J168/12/2.868</f>
        <v>2.5314531032078103</v>
      </c>
      <c r="R168" s="42">
        <f>SUM(R169:R173)</f>
        <v>21.799999999999997</v>
      </c>
      <c r="S168" s="495">
        <f>SUM(S169:S173)</f>
        <v>21.7</v>
      </c>
      <c r="T168" s="495">
        <f>SUM(T169:T173)</f>
        <v>21.799999999999997</v>
      </c>
      <c r="U168" s="521">
        <f>SUM(U169:U173)</f>
        <v>21.799999999999997</v>
      </c>
      <c r="X168" s="350">
        <f t="shared" si="20"/>
        <v>87.1</v>
      </c>
    </row>
    <row r="169" spans="2:24" hidden="1" x14ac:dyDescent="0.2">
      <c r="B169" s="290"/>
      <c r="C169" s="15" t="s">
        <v>70</v>
      </c>
      <c r="D169" s="39">
        <v>23</v>
      </c>
      <c r="E169" s="13"/>
      <c r="F169" s="102">
        <v>49</v>
      </c>
      <c r="G169" s="41"/>
      <c r="H169" s="39">
        <v>30</v>
      </c>
      <c r="I169" s="13"/>
      <c r="J169" s="39">
        <v>49</v>
      </c>
      <c r="K169" s="40">
        <f>R169+S169</f>
        <v>24.5</v>
      </c>
      <c r="L169" s="39"/>
      <c r="M169" s="339"/>
      <c r="N169" s="339"/>
      <c r="O169" s="40"/>
      <c r="P169" s="621"/>
      <c r="Q169" s="727"/>
      <c r="R169" s="406">
        <v>12.3</v>
      </c>
      <c r="S169" s="319">
        <v>12.2</v>
      </c>
      <c r="T169" s="319">
        <v>12.3</v>
      </c>
      <c r="U169" s="320">
        <v>12.2</v>
      </c>
      <c r="X169" s="350">
        <f t="shared" si="20"/>
        <v>49</v>
      </c>
    </row>
    <row r="170" spans="2:24" hidden="1" x14ac:dyDescent="0.2">
      <c r="B170" s="290"/>
      <c r="C170" s="15" t="s">
        <v>71</v>
      </c>
      <c r="D170" s="39"/>
      <c r="E170" s="13"/>
      <c r="F170" s="102">
        <v>14.7</v>
      </c>
      <c r="G170" s="41"/>
      <c r="H170" s="39"/>
      <c r="I170" s="13"/>
      <c r="J170" s="39">
        <v>14.7</v>
      </c>
      <c r="K170" s="40">
        <f>R170+S170</f>
        <v>7.3000000000000007</v>
      </c>
      <c r="L170" s="39"/>
      <c r="M170" s="339"/>
      <c r="N170" s="339"/>
      <c r="O170" s="40"/>
      <c r="P170" s="621"/>
      <c r="Q170" s="727"/>
      <c r="R170" s="406">
        <v>3.7</v>
      </c>
      <c r="S170" s="319">
        <v>3.6</v>
      </c>
      <c r="T170" s="319">
        <v>3.7</v>
      </c>
      <c r="U170" s="320">
        <v>3.7</v>
      </c>
      <c r="X170" s="350">
        <f t="shared" si="20"/>
        <v>14.7</v>
      </c>
    </row>
    <row r="171" spans="2:24" hidden="1" x14ac:dyDescent="0.2">
      <c r="B171" s="290"/>
      <c r="C171" s="15" t="s">
        <v>218</v>
      </c>
      <c r="D171" s="39"/>
      <c r="E171" s="13"/>
      <c r="F171" s="102"/>
      <c r="G171" s="41"/>
      <c r="H171" s="39"/>
      <c r="I171" s="13"/>
      <c r="J171" s="102">
        <f>((J169+J170)*0.3677-(J169+J170)*0.22)/1.22</f>
        <v>7.7118770491803295</v>
      </c>
      <c r="K171" s="40">
        <f>R171+S171</f>
        <v>3.8</v>
      </c>
      <c r="L171" s="39"/>
      <c r="M171" s="339"/>
      <c r="N171" s="339"/>
      <c r="O171" s="40"/>
      <c r="P171" s="236"/>
      <c r="Q171" s="727"/>
      <c r="R171" s="102">
        <v>1.9</v>
      </c>
      <c r="S171" s="319">
        <v>1.9</v>
      </c>
      <c r="T171" s="319">
        <v>1.9</v>
      </c>
      <c r="U171" s="320">
        <v>2</v>
      </c>
      <c r="X171" s="350">
        <f t="shared" si="20"/>
        <v>7.6999999999999993</v>
      </c>
    </row>
    <row r="172" spans="2:24" hidden="1" x14ac:dyDescent="0.2">
      <c r="B172" s="28"/>
      <c r="C172" s="15" t="s">
        <v>79</v>
      </c>
      <c r="D172" s="18">
        <v>8.5</v>
      </c>
      <c r="E172" s="13"/>
      <c r="F172" s="102">
        <v>23.4</v>
      </c>
      <c r="G172" s="13"/>
      <c r="H172" s="18">
        <v>11</v>
      </c>
      <c r="I172" s="13"/>
      <c r="J172" s="102">
        <f>(J169+J170+J171)*0.22</f>
        <v>15.710612950819673</v>
      </c>
      <c r="K172" s="40">
        <f>R172+S172</f>
        <v>7.9</v>
      </c>
      <c r="L172" s="39"/>
      <c r="M172" s="339"/>
      <c r="N172" s="339"/>
      <c r="O172" s="40"/>
      <c r="P172" s="236"/>
      <c r="Q172" s="727"/>
      <c r="R172" s="102">
        <v>3.9</v>
      </c>
      <c r="S172" s="319">
        <v>4</v>
      </c>
      <c r="T172" s="319">
        <v>3.9</v>
      </c>
      <c r="U172" s="320">
        <v>3.9</v>
      </c>
      <c r="X172" s="350">
        <f t="shared" si="20"/>
        <v>15.700000000000001</v>
      </c>
    </row>
    <row r="173" spans="2:24" hidden="1" x14ac:dyDescent="0.2">
      <c r="B173" s="28"/>
      <c r="C173" s="15" t="s">
        <v>73</v>
      </c>
      <c r="D173" s="18">
        <v>0.1</v>
      </c>
      <c r="E173" s="13"/>
      <c r="F173" s="726"/>
      <c r="G173" s="19"/>
      <c r="H173" s="18">
        <v>0.3</v>
      </c>
      <c r="I173" s="13"/>
      <c r="J173" s="18"/>
      <c r="K173" s="19"/>
      <c r="L173" s="18"/>
      <c r="M173" s="338"/>
      <c r="N173" s="338"/>
      <c r="O173" s="19"/>
      <c r="P173" s="238"/>
      <c r="Q173" s="727"/>
      <c r="R173" s="281"/>
      <c r="S173" s="87"/>
      <c r="T173" s="87"/>
      <c r="U173" s="88"/>
    </row>
    <row r="174" spans="2:24" ht="13.5" hidden="1" thickBot="1" x14ac:dyDescent="0.25">
      <c r="B174" s="297" t="s">
        <v>175</v>
      </c>
      <c r="C174" s="298" t="s">
        <v>150</v>
      </c>
      <c r="D174" s="299">
        <v>36.9</v>
      </c>
      <c r="E174" s="160">
        <f>D174/12/2.868</f>
        <v>1.0721757322175731</v>
      </c>
      <c r="F174" s="300"/>
      <c r="G174" s="192"/>
      <c r="H174" s="299">
        <v>34.4</v>
      </c>
      <c r="I174" s="160">
        <f>H174/12/2.868</f>
        <v>0.99953509995351009</v>
      </c>
      <c r="J174" s="584"/>
      <c r="K174" s="299"/>
      <c r="L174" s="192"/>
      <c r="M174" s="584">
        <v>33.5</v>
      </c>
      <c r="N174" s="584"/>
      <c r="O174" s="299"/>
      <c r="P174" s="691"/>
      <c r="Q174" s="744"/>
      <c r="R174" s="301"/>
      <c r="S174" s="302"/>
      <c r="T174" s="302"/>
      <c r="U174" s="303"/>
    </row>
    <row r="175" spans="2:24" hidden="1" x14ac:dyDescent="0.2">
      <c r="B175" s="533" t="s">
        <v>186</v>
      </c>
      <c r="C175" s="534" t="s">
        <v>123</v>
      </c>
      <c r="D175" s="362"/>
      <c r="E175" s="49"/>
      <c r="F175" s="535"/>
      <c r="G175" s="37"/>
      <c r="H175" s="362"/>
      <c r="I175" s="49"/>
      <c r="J175" s="601"/>
      <c r="K175" s="156"/>
      <c r="L175" s="655"/>
      <c r="M175" s="156"/>
      <c r="N175" s="156"/>
      <c r="O175" s="156"/>
      <c r="P175" s="692"/>
      <c r="Q175" s="748"/>
      <c r="R175" s="282"/>
      <c r="S175" s="123"/>
      <c r="T175" s="123"/>
      <c r="U175" s="124"/>
    </row>
    <row r="176" spans="2:24" hidden="1" x14ac:dyDescent="0.2">
      <c r="B176" s="333"/>
      <c r="C176" s="231" t="s">
        <v>144</v>
      </c>
      <c r="D176" s="44">
        <v>696.6</v>
      </c>
      <c r="E176" s="50"/>
      <c r="F176" s="244"/>
      <c r="G176" s="42"/>
      <c r="H176" s="44"/>
      <c r="I176" s="50"/>
      <c r="J176" s="602"/>
      <c r="K176" s="142"/>
      <c r="L176" s="656"/>
      <c r="M176" s="142"/>
      <c r="N176" s="142"/>
      <c r="O176" s="142"/>
      <c r="P176" s="693"/>
      <c r="Q176" s="727"/>
      <c r="R176" s="281"/>
      <c r="S176" s="87"/>
      <c r="T176" s="87"/>
      <c r="U176" s="88"/>
    </row>
    <row r="177" spans="2:21" hidden="1" x14ac:dyDescent="0.2">
      <c r="B177" s="333"/>
      <c r="C177" s="232" t="s">
        <v>101</v>
      </c>
      <c r="D177" s="235">
        <v>61.4</v>
      </c>
      <c r="E177" s="50"/>
      <c r="F177" s="244"/>
      <c r="G177" s="42"/>
      <c r="H177" s="44"/>
      <c r="I177" s="50"/>
      <c r="J177" s="602"/>
      <c r="K177" s="142"/>
      <c r="L177" s="656"/>
      <c r="M177" s="142"/>
      <c r="N177" s="142"/>
      <c r="O177" s="142"/>
      <c r="P177" s="693"/>
      <c r="Q177" s="727"/>
      <c r="R177" s="281"/>
      <c r="S177" s="87"/>
      <c r="T177" s="87"/>
      <c r="U177" s="88"/>
    </row>
    <row r="178" spans="2:21" hidden="1" x14ac:dyDescent="0.2">
      <c r="B178" s="333"/>
      <c r="C178" s="231" t="s">
        <v>152</v>
      </c>
      <c r="D178" s="44">
        <v>754.2</v>
      </c>
      <c r="E178" s="50"/>
      <c r="F178" s="104">
        <v>675</v>
      </c>
      <c r="G178" s="42"/>
      <c r="H178" s="44"/>
      <c r="I178" s="50"/>
      <c r="J178" s="602"/>
      <c r="K178" s="142"/>
      <c r="L178" s="656"/>
      <c r="M178" s="142"/>
      <c r="N178" s="142"/>
      <c r="O178" s="142"/>
      <c r="P178" s="693"/>
      <c r="Q178" s="727"/>
      <c r="R178" s="281"/>
      <c r="S178" s="87"/>
      <c r="T178" s="87"/>
      <c r="U178" s="88"/>
    </row>
    <row r="179" spans="2:21" hidden="1" x14ac:dyDescent="0.2">
      <c r="B179" s="333"/>
      <c r="C179" s="232" t="s">
        <v>101</v>
      </c>
      <c r="D179" s="17">
        <v>60.8</v>
      </c>
      <c r="E179" s="50"/>
      <c r="F179" s="40">
        <v>60</v>
      </c>
      <c r="G179" s="42"/>
      <c r="H179" s="44"/>
      <c r="I179" s="50"/>
      <c r="J179" s="602"/>
      <c r="K179" s="142"/>
      <c r="L179" s="656"/>
      <c r="M179" s="142"/>
      <c r="N179" s="142"/>
      <c r="O179" s="142"/>
      <c r="P179" s="693"/>
      <c r="Q179" s="727"/>
      <c r="R179" s="281"/>
      <c r="S179" s="87"/>
      <c r="T179" s="87"/>
      <c r="U179" s="88"/>
    </row>
    <row r="180" spans="2:21" hidden="1" x14ac:dyDescent="0.2">
      <c r="B180" s="333"/>
      <c r="C180" s="231" t="s">
        <v>168</v>
      </c>
      <c r="D180" s="44"/>
      <c r="E180" s="50"/>
      <c r="F180" s="245"/>
      <c r="G180" s="42"/>
      <c r="H180" s="44">
        <v>875.4</v>
      </c>
      <c r="I180" s="50"/>
      <c r="J180" s="602"/>
      <c r="K180" s="44">
        <v>875.4</v>
      </c>
      <c r="L180" s="62"/>
      <c r="M180" s="44"/>
      <c r="N180" s="44"/>
      <c r="O180" s="44"/>
      <c r="P180" s="693"/>
      <c r="Q180" s="727"/>
      <c r="R180" s="281"/>
      <c r="S180" s="87"/>
      <c r="T180" s="87"/>
      <c r="U180" s="88"/>
    </row>
    <row r="181" spans="2:21" hidden="1" x14ac:dyDescent="0.2">
      <c r="B181" s="333"/>
      <c r="C181" s="229" t="s">
        <v>101</v>
      </c>
      <c r="D181" s="17"/>
      <c r="E181" s="50"/>
      <c r="F181" s="246"/>
      <c r="G181" s="12"/>
      <c r="H181" s="17">
        <v>51.2</v>
      </c>
      <c r="I181" s="50"/>
      <c r="J181" s="25"/>
      <c r="K181" s="16">
        <v>51.2</v>
      </c>
      <c r="L181" s="51"/>
      <c r="M181" s="16"/>
      <c r="N181" s="16"/>
      <c r="O181" s="16"/>
      <c r="P181" s="694"/>
      <c r="Q181" s="727"/>
      <c r="R181" s="281"/>
      <c r="S181" s="87"/>
      <c r="T181" s="87"/>
      <c r="U181" s="88"/>
    </row>
    <row r="182" spans="2:21" hidden="1" x14ac:dyDescent="0.2">
      <c r="B182" s="333"/>
      <c r="C182" s="231" t="s">
        <v>231</v>
      </c>
      <c r="D182" s="235"/>
      <c r="E182" s="62"/>
      <c r="F182" s="245"/>
      <c r="G182" s="42"/>
      <c r="H182" s="235"/>
      <c r="I182" s="62"/>
      <c r="J182" s="603">
        <v>820</v>
      </c>
      <c r="K182" s="41">
        <v>820</v>
      </c>
      <c r="L182" s="42"/>
      <c r="M182" s="41">
        <v>842.1</v>
      </c>
      <c r="N182" s="41"/>
      <c r="O182" s="41"/>
      <c r="P182" s="458"/>
      <c r="Q182" s="739"/>
      <c r="R182" s="280"/>
      <c r="S182" s="116"/>
      <c r="T182" s="116"/>
      <c r="U182" s="117"/>
    </row>
    <row r="183" spans="2:21" ht="13.5" hidden="1" thickBot="1" x14ac:dyDescent="0.25">
      <c r="B183" s="297"/>
      <c r="C183" s="294" t="s">
        <v>101</v>
      </c>
      <c r="D183" s="32"/>
      <c r="E183" s="296"/>
      <c r="F183" s="295"/>
      <c r="G183" s="160"/>
      <c r="H183" s="32"/>
      <c r="I183" s="296"/>
      <c r="J183" s="604">
        <v>50</v>
      </c>
      <c r="K183" s="155">
        <v>50</v>
      </c>
      <c r="L183" s="166"/>
      <c r="M183" s="155">
        <v>74.8</v>
      </c>
      <c r="N183" s="155"/>
      <c r="O183" s="155"/>
      <c r="P183" s="664"/>
      <c r="Q183" s="744"/>
      <c r="R183" s="283"/>
      <c r="S183" s="126"/>
      <c r="T183" s="126"/>
      <c r="U183" s="127"/>
    </row>
    <row r="184" spans="2:21" ht="24" hidden="1" x14ac:dyDescent="0.2">
      <c r="B184" s="362">
        <v>15</v>
      </c>
      <c r="C184" s="363" t="s">
        <v>143</v>
      </c>
      <c r="D184" s="364">
        <v>1418.1</v>
      </c>
      <c r="E184" s="37"/>
      <c r="F184" s="364"/>
      <c r="G184" s="365"/>
      <c r="H184" s="364"/>
      <c r="I184" s="37"/>
      <c r="J184" s="605"/>
      <c r="K184" s="364"/>
      <c r="L184" s="365"/>
      <c r="M184" s="364"/>
      <c r="N184" s="364"/>
      <c r="O184" s="364"/>
      <c r="P184" s="695"/>
      <c r="Q184" s="748"/>
      <c r="R184" s="366"/>
      <c r="S184" s="367"/>
      <c r="T184" s="367"/>
      <c r="U184" s="368"/>
    </row>
    <row r="185" spans="2:21" hidden="1" x14ac:dyDescent="0.2">
      <c r="B185" s="293" t="s">
        <v>102</v>
      </c>
      <c r="C185" s="229" t="s">
        <v>103</v>
      </c>
      <c r="D185" s="234">
        <v>1099</v>
      </c>
      <c r="E185" s="12"/>
      <c r="F185" s="234"/>
      <c r="G185" s="250"/>
      <c r="H185" s="234"/>
      <c r="I185" s="12"/>
      <c r="J185" s="606"/>
      <c r="K185" s="234"/>
      <c r="L185" s="250"/>
      <c r="M185" s="234"/>
      <c r="N185" s="234"/>
      <c r="O185" s="234"/>
      <c r="P185" s="696"/>
      <c r="Q185" s="727"/>
      <c r="R185" s="278"/>
      <c r="S185" s="228"/>
      <c r="T185" s="228"/>
      <c r="U185" s="279"/>
    </row>
    <row r="186" spans="2:21" hidden="1" x14ac:dyDescent="0.2">
      <c r="B186" s="293" t="s">
        <v>104</v>
      </c>
      <c r="C186" s="230" t="s">
        <v>100</v>
      </c>
      <c r="D186" s="251">
        <v>1029</v>
      </c>
      <c r="E186" s="12"/>
      <c r="F186" s="251"/>
      <c r="G186" s="250"/>
      <c r="H186" s="234"/>
      <c r="I186" s="12"/>
      <c r="J186" s="606"/>
      <c r="K186" s="234"/>
      <c r="L186" s="250"/>
      <c r="M186" s="234"/>
      <c r="N186" s="234"/>
      <c r="O186" s="234"/>
      <c r="P186" s="696"/>
      <c r="Q186" s="727"/>
      <c r="R186" s="278"/>
      <c r="S186" s="228"/>
      <c r="T186" s="228"/>
      <c r="U186" s="279"/>
    </row>
    <row r="187" spans="2:21" hidden="1" x14ac:dyDescent="0.2">
      <c r="B187" s="293" t="s">
        <v>105</v>
      </c>
      <c r="C187" s="230" t="s">
        <v>106</v>
      </c>
      <c r="D187" s="251">
        <v>70</v>
      </c>
      <c r="E187" s="12"/>
      <c r="F187" s="251"/>
      <c r="G187" s="250"/>
      <c r="H187" s="234"/>
      <c r="I187" s="12"/>
      <c r="J187" s="606"/>
      <c r="K187" s="234"/>
      <c r="L187" s="250"/>
      <c r="M187" s="234"/>
      <c r="N187" s="234"/>
      <c r="O187" s="234"/>
      <c r="P187" s="696"/>
      <c r="Q187" s="727"/>
      <c r="R187" s="278"/>
      <c r="S187" s="228"/>
      <c r="T187" s="228"/>
      <c r="U187" s="279"/>
    </row>
    <row r="188" spans="2:21" ht="13.5" hidden="1" thickBot="1" x14ac:dyDescent="0.25">
      <c r="B188" s="313" t="s">
        <v>107</v>
      </c>
      <c r="C188" s="294" t="s">
        <v>108</v>
      </c>
      <c r="D188" s="307">
        <v>319.10000000000002</v>
      </c>
      <c r="E188" s="160"/>
      <c r="F188" s="307"/>
      <c r="G188" s="192"/>
      <c r="H188" s="299"/>
      <c r="I188" s="160"/>
      <c r="J188" s="584"/>
      <c r="K188" s="299"/>
      <c r="L188" s="192"/>
      <c r="M188" s="299"/>
      <c r="N188" s="299"/>
      <c r="O188" s="299"/>
      <c r="P188" s="697"/>
      <c r="Q188" s="744"/>
      <c r="R188" s="301"/>
      <c r="S188" s="302"/>
      <c r="T188" s="302"/>
      <c r="U188" s="303"/>
    </row>
    <row r="189" spans="2:21" ht="24" hidden="1" x14ac:dyDescent="0.2">
      <c r="B189" s="362">
        <v>16</v>
      </c>
      <c r="C189" s="363" t="s">
        <v>169</v>
      </c>
      <c r="D189" s="364">
        <f>D190+D193</f>
        <v>1497.4</v>
      </c>
      <c r="E189" s="37"/>
      <c r="F189" s="364">
        <f>F190+F193</f>
        <v>1422.2</v>
      </c>
      <c r="G189" s="365"/>
      <c r="H189" s="364"/>
      <c r="I189" s="37"/>
      <c r="J189" s="605"/>
      <c r="K189" s="364"/>
      <c r="L189" s="365"/>
      <c r="M189" s="364"/>
      <c r="N189" s="364"/>
      <c r="O189" s="364"/>
      <c r="P189" s="695"/>
      <c r="Q189" s="748"/>
      <c r="R189" s="366"/>
      <c r="S189" s="367"/>
      <c r="T189" s="367"/>
      <c r="U189" s="368"/>
    </row>
    <row r="190" spans="2:21" hidden="1" x14ac:dyDescent="0.2">
      <c r="B190" s="293" t="s">
        <v>112</v>
      </c>
      <c r="C190" s="229" t="s">
        <v>103</v>
      </c>
      <c r="D190" s="234">
        <f>D191+D192</f>
        <v>1146.2</v>
      </c>
      <c r="E190" s="12"/>
      <c r="F190" s="234">
        <f>F191+F192</f>
        <v>1144</v>
      </c>
      <c r="G190" s="250"/>
      <c r="H190" s="234"/>
      <c r="I190" s="12"/>
      <c r="J190" s="606"/>
      <c r="K190" s="234"/>
      <c r="L190" s="250"/>
      <c r="M190" s="234"/>
      <c r="N190" s="234"/>
      <c r="O190" s="234"/>
      <c r="P190" s="696"/>
      <c r="Q190" s="727"/>
      <c r="R190" s="278"/>
      <c r="S190" s="228"/>
      <c r="T190" s="228"/>
      <c r="U190" s="279"/>
    </row>
    <row r="191" spans="2:21" hidden="1" x14ac:dyDescent="0.2">
      <c r="B191" s="293" t="s">
        <v>113</v>
      </c>
      <c r="C191" s="230" t="s">
        <v>100</v>
      </c>
      <c r="D191" s="251">
        <f>1146.2-D192</f>
        <v>1076.2</v>
      </c>
      <c r="E191" s="12"/>
      <c r="F191" s="251">
        <f>1144-F192</f>
        <v>1074</v>
      </c>
      <c r="G191" s="250"/>
      <c r="H191" s="234"/>
      <c r="I191" s="12"/>
      <c r="J191" s="606"/>
      <c r="K191" s="234"/>
      <c r="L191" s="250"/>
      <c r="M191" s="234"/>
      <c r="N191" s="234"/>
      <c r="O191" s="234"/>
      <c r="P191" s="696"/>
      <c r="Q191" s="727"/>
      <c r="R191" s="278"/>
      <c r="S191" s="228"/>
      <c r="T191" s="228"/>
      <c r="U191" s="279"/>
    </row>
    <row r="192" spans="2:21" hidden="1" x14ac:dyDescent="0.2">
      <c r="B192" s="293" t="s">
        <v>114</v>
      </c>
      <c r="C192" s="230" t="s">
        <v>106</v>
      </c>
      <c r="D192" s="251">
        <v>70</v>
      </c>
      <c r="E192" s="12"/>
      <c r="F192" s="251">
        <v>70</v>
      </c>
      <c r="G192" s="250"/>
      <c r="H192" s="234"/>
      <c r="I192" s="12"/>
      <c r="J192" s="606"/>
      <c r="K192" s="234"/>
      <c r="L192" s="250"/>
      <c r="M192" s="234"/>
      <c r="N192" s="234"/>
      <c r="O192" s="234"/>
      <c r="P192" s="696"/>
      <c r="Q192" s="727"/>
      <c r="R192" s="278"/>
      <c r="S192" s="228"/>
      <c r="T192" s="228"/>
      <c r="U192" s="279"/>
    </row>
    <row r="193" spans="2:21" ht="13.5" hidden="1" thickBot="1" x14ac:dyDescent="0.25">
      <c r="B193" s="313" t="s">
        <v>115</v>
      </c>
      <c r="C193" s="294" t="s">
        <v>108</v>
      </c>
      <c r="D193" s="307">
        <f>1497.4-D190</f>
        <v>351.20000000000005</v>
      </c>
      <c r="E193" s="160"/>
      <c r="F193" s="307">
        <v>278.2</v>
      </c>
      <c r="G193" s="192"/>
      <c r="H193" s="299"/>
      <c r="I193" s="160"/>
      <c r="J193" s="584"/>
      <c r="K193" s="299"/>
      <c r="L193" s="192"/>
      <c r="M193" s="299"/>
      <c r="N193" s="299"/>
      <c r="O193" s="299"/>
      <c r="P193" s="697"/>
      <c r="Q193" s="744"/>
      <c r="R193" s="301"/>
      <c r="S193" s="302"/>
      <c r="T193" s="302"/>
      <c r="U193" s="303"/>
    </row>
    <row r="194" spans="2:21" ht="24" hidden="1" x14ac:dyDescent="0.2">
      <c r="B194" s="362">
        <v>17</v>
      </c>
      <c r="C194" s="711" t="s">
        <v>177</v>
      </c>
      <c r="D194" s="364"/>
      <c r="E194" s="37"/>
      <c r="F194" s="369"/>
      <c r="G194" s="365"/>
      <c r="H194" s="364">
        <v>1700.4</v>
      </c>
      <c r="I194" s="37"/>
      <c r="J194" s="605"/>
      <c r="K194" s="364">
        <v>1700.4</v>
      </c>
      <c r="L194" s="365"/>
      <c r="M194" s="364"/>
      <c r="N194" s="364"/>
      <c r="O194" s="364"/>
      <c r="P194" s="695"/>
      <c r="Q194" s="748"/>
      <c r="R194" s="366"/>
      <c r="S194" s="367"/>
      <c r="T194" s="367"/>
      <c r="U194" s="368"/>
    </row>
    <row r="195" spans="2:21" hidden="1" x14ac:dyDescent="0.2">
      <c r="B195" s="17" t="s">
        <v>116</v>
      </c>
      <c r="C195" s="712" t="s">
        <v>103</v>
      </c>
      <c r="D195" s="234"/>
      <c r="E195" s="12"/>
      <c r="F195" s="243"/>
      <c r="G195" s="250"/>
      <c r="H195" s="234">
        <v>1179</v>
      </c>
      <c r="I195" s="12"/>
      <c r="J195" s="606"/>
      <c r="K195" s="234">
        <v>1179</v>
      </c>
      <c r="L195" s="250"/>
      <c r="M195" s="234"/>
      <c r="N195" s="234"/>
      <c r="O195" s="234"/>
      <c r="P195" s="696"/>
      <c r="Q195" s="727"/>
      <c r="R195" s="278"/>
      <c r="S195" s="228"/>
      <c r="T195" s="228"/>
      <c r="U195" s="279"/>
    </row>
    <row r="196" spans="2:21" hidden="1" x14ac:dyDescent="0.2">
      <c r="B196" s="17" t="s">
        <v>117</v>
      </c>
      <c r="C196" s="713" t="s">
        <v>100</v>
      </c>
      <c r="D196" s="251"/>
      <c r="E196" s="12"/>
      <c r="F196" s="243"/>
      <c r="G196" s="250"/>
      <c r="H196" s="251">
        <v>1146</v>
      </c>
      <c r="I196" s="12"/>
      <c r="J196" s="607"/>
      <c r="K196" s="771">
        <v>1146</v>
      </c>
      <c r="L196" s="657"/>
      <c r="M196" s="251"/>
      <c r="N196" s="251"/>
      <c r="O196" s="251"/>
      <c r="P196" s="698"/>
      <c r="Q196" s="727"/>
      <c r="R196" s="278"/>
      <c r="S196" s="228"/>
      <c r="T196" s="228"/>
      <c r="U196" s="279"/>
    </row>
    <row r="197" spans="2:21" hidden="1" x14ac:dyDescent="0.2">
      <c r="B197" s="17" t="s">
        <v>118</v>
      </c>
      <c r="C197" s="713" t="s">
        <v>106</v>
      </c>
      <c r="D197" s="251"/>
      <c r="E197" s="12"/>
      <c r="F197" s="243"/>
      <c r="G197" s="250"/>
      <c r="H197" s="251">
        <v>33</v>
      </c>
      <c r="I197" s="12"/>
      <c r="J197" s="607"/>
      <c r="K197" s="771">
        <v>33</v>
      </c>
      <c r="L197" s="657"/>
      <c r="M197" s="251"/>
      <c r="N197" s="251"/>
      <c r="O197" s="251"/>
      <c r="P197" s="698"/>
      <c r="Q197" s="727"/>
      <c r="R197" s="278"/>
      <c r="S197" s="228"/>
      <c r="T197" s="228"/>
      <c r="U197" s="279"/>
    </row>
    <row r="198" spans="2:21" ht="13.5" hidden="1" thickBot="1" x14ac:dyDescent="0.25">
      <c r="B198" s="32" t="s">
        <v>119</v>
      </c>
      <c r="C198" s="714" t="s">
        <v>108</v>
      </c>
      <c r="D198" s="307"/>
      <c r="E198" s="33"/>
      <c r="F198" s="300"/>
      <c r="G198" s="192"/>
      <c r="H198" s="307">
        <v>521.4</v>
      </c>
      <c r="I198" s="33"/>
      <c r="J198" s="608"/>
      <c r="K198" s="307">
        <v>521.4</v>
      </c>
      <c r="L198" s="658"/>
      <c r="M198" s="307"/>
      <c r="N198" s="307"/>
      <c r="O198" s="307"/>
      <c r="P198" s="699"/>
      <c r="Q198" s="744"/>
      <c r="R198" s="301"/>
      <c r="S198" s="302"/>
      <c r="T198" s="302"/>
      <c r="U198" s="303"/>
    </row>
    <row r="199" spans="2:21" ht="24" hidden="1" x14ac:dyDescent="0.2">
      <c r="B199" s="11">
        <v>18</v>
      </c>
      <c r="C199" s="711" t="s">
        <v>232</v>
      </c>
      <c r="D199" s="364"/>
      <c r="E199" s="37"/>
      <c r="F199" s="369"/>
      <c r="G199" s="365"/>
      <c r="H199" s="364"/>
      <c r="I199" s="37"/>
      <c r="J199" s="605">
        <v>1650.4</v>
      </c>
      <c r="K199" s="364">
        <v>1650.4</v>
      </c>
      <c r="L199" s="365"/>
      <c r="M199" s="364">
        <v>1618.9</v>
      </c>
      <c r="N199" s="364"/>
      <c r="O199" s="364"/>
      <c r="P199" s="695"/>
      <c r="Q199" s="727"/>
      <c r="R199" s="278"/>
      <c r="S199" s="228"/>
      <c r="T199" s="228"/>
      <c r="U199" s="279"/>
    </row>
    <row r="200" spans="2:21" hidden="1" x14ac:dyDescent="0.2">
      <c r="B200" s="17" t="s">
        <v>187</v>
      </c>
      <c r="C200" s="712" t="s">
        <v>103</v>
      </c>
      <c r="D200" s="234"/>
      <c r="E200" s="12"/>
      <c r="F200" s="243"/>
      <c r="G200" s="250"/>
      <c r="H200" s="234"/>
      <c r="I200" s="12"/>
      <c r="J200" s="606">
        <v>1129</v>
      </c>
      <c r="K200" s="234">
        <v>1129</v>
      </c>
      <c r="L200" s="250"/>
      <c r="M200" s="234">
        <v>1100.3</v>
      </c>
      <c r="N200" s="234"/>
      <c r="O200" s="234"/>
      <c r="P200" s="696"/>
      <c r="Q200" s="727"/>
      <c r="R200" s="278"/>
      <c r="S200" s="228"/>
      <c r="T200" s="228"/>
      <c r="U200" s="279"/>
    </row>
    <row r="201" spans="2:21" hidden="1" x14ac:dyDescent="0.2">
      <c r="B201" s="17" t="s">
        <v>188</v>
      </c>
      <c r="C201" s="713" t="s">
        <v>222</v>
      </c>
      <c r="D201" s="251"/>
      <c r="E201" s="12"/>
      <c r="F201" s="243"/>
      <c r="G201" s="250"/>
      <c r="H201" s="251"/>
      <c r="I201" s="12"/>
      <c r="J201" s="607">
        <v>1116</v>
      </c>
      <c r="K201" s="771">
        <v>1116</v>
      </c>
      <c r="L201" s="657"/>
      <c r="M201" s="771">
        <f>1100.3</f>
        <v>1100.3</v>
      </c>
      <c r="N201" s="251"/>
      <c r="O201" s="251"/>
      <c r="P201" s="698"/>
      <c r="Q201" s="727"/>
      <c r="R201" s="278"/>
      <c r="S201" s="228"/>
      <c r="T201" s="228"/>
      <c r="U201" s="279"/>
    </row>
    <row r="202" spans="2:21" hidden="1" x14ac:dyDescent="0.2">
      <c r="B202" s="17" t="s">
        <v>189</v>
      </c>
      <c r="C202" s="713" t="s">
        <v>106</v>
      </c>
      <c r="D202" s="251"/>
      <c r="E202" s="12"/>
      <c r="F202" s="243"/>
      <c r="G202" s="250"/>
      <c r="H202" s="251"/>
      <c r="I202" s="12"/>
      <c r="J202" s="607">
        <v>33</v>
      </c>
      <c r="K202" s="771">
        <v>33</v>
      </c>
      <c r="L202" s="657"/>
      <c r="M202" s="251" t="s">
        <v>132</v>
      </c>
      <c r="N202" s="251"/>
      <c r="O202" s="251"/>
      <c r="P202" s="698"/>
      <c r="Q202" s="727"/>
      <c r="R202" s="278"/>
      <c r="S202" s="228"/>
      <c r="T202" s="228"/>
      <c r="U202" s="279"/>
    </row>
    <row r="203" spans="2:21" ht="13.5" hidden="1" thickBot="1" x14ac:dyDescent="0.25">
      <c r="B203" s="32" t="s">
        <v>190</v>
      </c>
      <c r="C203" s="714" t="s">
        <v>108</v>
      </c>
      <c r="D203" s="307"/>
      <c r="E203" s="33"/>
      <c r="F203" s="300"/>
      <c r="G203" s="192"/>
      <c r="H203" s="307"/>
      <c r="I203" s="33"/>
      <c r="J203" s="608">
        <v>501.4</v>
      </c>
      <c r="K203" s="307">
        <v>501.4</v>
      </c>
      <c r="L203" s="658"/>
      <c r="M203" s="307">
        <f>M199-M200</f>
        <v>518.60000000000014</v>
      </c>
      <c r="N203" s="307"/>
      <c r="O203" s="307"/>
      <c r="P203" s="699"/>
      <c r="Q203" s="744"/>
      <c r="R203" s="301"/>
      <c r="S203" s="302"/>
      <c r="T203" s="302"/>
      <c r="U203" s="303"/>
    </row>
    <row r="204" spans="2:21" hidden="1" x14ac:dyDescent="0.2">
      <c r="B204" s="47">
        <v>19</v>
      </c>
      <c r="C204" s="48" t="s">
        <v>109</v>
      </c>
      <c r="D204" s="203">
        <v>62</v>
      </c>
      <c r="E204" s="156"/>
      <c r="F204" s="247">
        <v>70</v>
      </c>
      <c r="G204" s="237"/>
      <c r="H204" s="203">
        <v>60</v>
      </c>
      <c r="I204" s="156"/>
      <c r="J204" s="49">
        <v>65</v>
      </c>
      <c r="K204" s="362">
        <v>65</v>
      </c>
      <c r="L204" s="49"/>
      <c r="M204" s="47">
        <v>63</v>
      </c>
      <c r="N204" s="47"/>
      <c r="O204" s="47"/>
      <c r="P204" s="362"/>
      <c r="Q204" s="748"/>
      <c r="R204" s="47">
        <v>65</v>
      </c>
      <c r="S204" s="499">
        <v>65</v>
      </c>
      <c r="T204" s="499">
        <v>65</v>
      </c>
      <c r="U204" s="501">
        <v>65</v>
      </c>
    </row>
    <row r="205" spans="2:21" hidden="1" x14ac:dyDescent="0.2">
      <c r="B205" s="28"/>
      <c r="C205" s="20" t="s">
        <v>110</v>
      </c>
      <c r="D205" s="76">
        <v>16</v>
      </c>
      <c r="E205" s="17"/>
      <c r="F205" s="17">
        <v>16</v>
      </c>
      <c r="G205" s="238"/>
      <c r="H205" s="76">
        <v>15</v>
      </c>
      <c r="I205" s="17"/>
      <c r="J205" s="76">
        <v>15</v>
      </c>
      <c r="K205" s="17">
        <v>15</v>
      </c>
      <c r="L205" s="76"/>
      <c r="M205" s="28">
        <v>15</v>
      </c>
      <c r="N205" s="28"/>
      <c r="O205" s="28"/>
      <c r="P205" s="17"/>
      <c r="Q205" s="727"/>
      <c r="R205" s="28">
        <v>15</v>
      </c>
      <c r="S205" s="500">
        <v>15</v>
      </c>
      <c r="T205" s="500">
        <v>15</v>
      </c>
      <c r="U205" s="502">
        <v>15</v>
      </c>
    </row>
    <row r="206" spans="2:21" hidden="1" x14ac:dyDescent="0.2">
      <c r="B206" s="14">
        <v>20</v>
      </c>
      <c r="C206" s="27" t="s">
        <v>111</v>
      </c>
      <c r="D206" s="98">
        <v>2197</v>
      </c>
      <c r="E206" s="11"/>
      <c r="F206" s="248">
        <v>2200</v>
      </c>
      <c r="G206" s="236"/>
      <c r="H206" s="98">
        <v>2747</v>
      </c>
      <c r="I206" s="11"/>
      <c r="J206" s="50">
        <v>2750</v>
      </c>
      <c r="K206" s="11">
        <v>2750</v>
      </c>
      <c r="L206" s="50"/>
      <c r="M206" s="673">
        <f>2340.6/12/M204*1000</f>
        <v>3096.0317460317456</v>
      </c>
      <c r="N206" s="673"/>
      <c r="O206" s="673"/>
      <c r="P206" s="675"/>
      <c r="Q206" s="727"/>
      <c r="R206" s="50">
        <v>2750</v>
      </c>
      <c r="S206" s="513">
        <v>2750</v>
      </c>
      <c r="T206" s="513">
        <v>2750</v>
      </c>
      <c r="U206" s="524">
        <v>2750</v>
      </c>
    </row>
    <row r="207" spans="2:21" ht="13.5" hidden="1" thickBot="1" x14ac:dyDescent="0.25">
      <c r="B207" s="167"/>
      <c r="C207" s="30" t="s">
        <v>110</v>
      </c>
      <c r="D207" s="168">
        <v>3038</v>
      </c>
      <c r="E207" s="32"/>
      <c r="F207" s="32">
        <v>3040</v>
      </c>
      <c r="G207" s="239"/>
      <c r="H207" s="168">
        <v>3826</v>
      </c>
      <c r="I207" s="32"/>
      <c r="J207" s="168">
        <v>3830</v>
      </c>
      <c r="K207" s="32">
        <v>3830</v>
      </c>
      <c r="L207" s="168"/>
      <c r="M207" s="674">
        <f>721351/12/15</f>
        <v>4007.5055555555559</v>
      </c>
      <c r="N207" s="674"/>
      <c r="O207" s="685"/>
      <c r="P207" s="675"/>
      <c r="Q207" s="744"/>
      <c r="R207" s="168">
        <v>3830</v>
      </c>
      <c r="S207" s="514">
        <v>3830</v>
      </c>
      <c r="T207" s="514">
        <v>3830</v>
      </c>
      <c r="U207" s="525">
        <v>3830</v>
      </c>
    </row>
    <row r="208" spans="2:21" hidden="1" x14ac:dyDescent="0.2">
      <c r="B208" s="14">
        <v>21</v>
      </c>
      <c r="C208" s="27" t="s">
        <v>124</v>
      </c>
      <c r="D208" s="98">
        <v>286.8</v>
      </c>
      <c r="E208" s="11"/>
      <c r="F208" s="248"/>
      <c r="G208" s="233"/>
      <c r="H208" s="98">
        <v>286.8</v>
      </c>
      <c r="I208" s="11"/>
      <c r="J208" s="98"/>
      <c r="K208" s="661"/>
      <c r="L208" s="596"/>
      <c r="M208" s="649">
        <f>283.4-4.1</f>
        <v>279.29999999999995</v>
      </c>
      <c r="N208" s="649"/>
      <c r="O208" s="649"/>
      <c r="P208" s="247"/>
      <c r="Q208" s="727"/>
      <c r="R208" s="281"/>
      <c r="S208" s="87"/>
      <c r="T208" s="87"/>
      <c r="U208" s="88"/>
    </row>
    <row r="209" spans="2:21" hidden="1" x14ac:dyDescent="0.2">
      <c r="B209" s="28"/>
      <c r="C209" s="20" t="s">
        <v>83</v>
      </c>
      <c r="D209" s="76">
        <v>93.5</v>
      </c>
      <c r="E209" s="17"/>
      <c r="F209" s="17"/>
      <c r="G209" s="238"/>
      <c r="H209" s="76">
        <v>93.5</v>
      </c>
      <c r="I209" s="17"/>
      <c r="J209" s="76"/>
      <c r="K209" s="17"/>
      <c r="L209" s="76"/>
      <c r="M209" s="28">
        <f>93.6-4.1</f>
        <v>89.5</v>
      </c>
      <c r="N209" s="28"/>
      <c r="O209" s="28"/>
      <c r="P209" s="17"/>
      <c r="Q209" s="727"/>
      <c r="R209" s="281"/>
      <c r="S209" s="87"/>
      <c r="T209" s="87"/>
      <c r="U209" s="88"/>
    </row>
    <row r="210" spans="2:21" hidden="1" x14ac:dyDescent="0.2">
      <c r="B210" s="14">
        <v>22</v>
      </c>
      <c r="C210" s="27" t="s">
        <v>125</v>
      </c>
      <c r="D210" s="76">
        <v>58</v>
      </c>
      <c r="E210" s="11"/>
      <c r="F210" s="17"/>
      <c r="G210" s="233"/>
      <c r="H210" s="76">
        <v>58</v>
      </c>
      <c r="I210" s="11"/>
      <c r="J210" s="51"/>
      <c r="K210" s="11"/>
      <c r="L210" s="50"/>
      <c r="M210" s="14">
        <v>56</v>
      </c>
      <c r="N210" s="14"/>
      <c r="O210" s="14"/>
      <c r="P210" s="16"/>
      <c r="Q210" s="727"/>
      <c r="R210" s="281"/>
      <c r="S210" s="87"/>
      <c r="T210" s="87"/>
      <c r="U210" s="88"/>
    </row>
    <row r="211" spans="2:21" hidden="1" x14ac:dyDescent="0.2">
      <c r="B211" s="14">
        <v>23</v>
      </c>
      <c r="C211" s="27" t="s">
        <v>120</v>
      </c>
      <c r="D211" s="98">
        <v>4955.8999999999996</v>
      </c>
      <c r="E211" s="11"/>
      <c r="F211" s="181"/>
      <c r="G211" s="240"/>
      <c r="H211" s="98">
        <v>6003.9</v>
      </c>
      <c r="I211" s="11"/>
      <c r="J211" s="51"/>
      <c r="K211" s="11"/>
      <c r="L211" s="50"/>
      <c r="M211" s="11">
        <v>6086.8</v>
      </c>
      <c r="N211" s="11"/>
      <c r="O211" s="11"/>
      <c r="P211" s="16"/>
      <c r="Q211" s="727"/>
      <c r="R211" s="281"/>
      <c r="S211" s="87"/>
      <c r="T211" s="87"/>
      <c r="U211" s="88"/>
    </row>
    <row r="212" spans="2:21" hidden="1" x14ac:dyDescent="0.2">
      <c r="B212" s="28"/>
      <c r="C212" s="20" t="s">
        <v>84</v>
      </c>
      <c r="D212" s="76">
        <f>D213+D214+D215</f>
        <v>4099.9000000000005</v>
      </c>
      <c r="E212" s="17"/>
      <c r="F212" s="181"/>
      <c r="G212" s="241"/>
      <c r="H212" s="76">
        <f>H213+H214+H215</f>
        <v>4505.7999999999993</v>
      </c>
      <c r="I212" s="17"/>
      <c r="J212" s="76"/>
      <c r="K212" s="17"/>
      <c r="L212" s="76"/>
      <c r="M212" s="17">
        <v>4920.5</v>
      </c>
      <c r="N212" s="17"/>
      <c r="O212" s="17"/>
      <c r="P212" s="17"/>
      <c r="Q212" s="727"/>
      <c r="R212" s="281"/>
      <c r="S212" s="87"/>
      <c r="T212" s="87"/>
      <c r="U212" s="88"/>
    </row>
    <row r="213" spans="2:21" hidden="1" x14ac:dyDescent="0.2">
      <c r="B213" s="28"/>
      <c r="C213" s="20" t="s">
        <v>85</v>
      </c>
      <c r="D213" s="76">
        <v>3885.9</v>
      </c>
      <c r="E213" s="17"/>
      <c r="F213" s="181"/>
      <c r="G213" s="241"/>
      <c r="H213" s="76">
        <v>4128</v>
      </c>
      <c r="I213" s="17"/>
      <c r="J213" s="76"/>
      <c r="K213" s="17"/>
      <c r="L213" s="76"/>
      <c r="M213" s="17">
        <v>3894.2</v>
      </c>
      <c r="N213" s="17"/>
      <c r="O213" s="17"/>
      <c r="P213" s="17"/>
      <c r="Q213" s="727"/>
      <c r="R213" s="281"/>
      <c r="S213" s="87"/>
      <c r="T213" s="87"/>
      <c r="U213" s="88"/>
    </row>
    <row r="214" spans="2:21" hidden="1" x14ac:dyDescent="0.2">
      <c r="B214" s="28"/>
      <c r="C214" s="20" t="s">
        <v>86</v>
      </c>
      <c r="D214" s="76">
        <v>28.3</v>
      </c>
      <c r="E214" s="17"/>
      <c r="F214" s="181"/>
      <c r="G214" s="241"/>
      <c r="H214" s="76">
        <v>199.9</v>
      </c>
      <c r="I214" s="17"/>
      <c r="J214" s="76"/>
      <c r="K214" s="17"/>
      <c r="L214" s="76"/>
      <c r="M214" s="17">
        <v>866.5</v>
      </c>
      <c r="N214" s="17"/>
      <c r="O214" s="17"/>
      <c r="P214" s="17"/>
      <c r="Q214" s="727"/>
      <c r="R214" s="281"/>
      <c r="S214" s="87"/>
      <c r="T214" s="87"/>
      <c r="U214" s="88"/>
    </row>
    <row r="215" spans="2:21" hidden="1" x14ac:dyDescent="0.2">
      <c r="B215" s="28"/>
      <c r="C215" s="20" t="s">
        <v>87</v>
      </c>
      <c r="D215" s="76">
        <v>185.7</v>
      </c>
      <c r="E215" s="17"/>
      <c r="F215" s="181"/>
      <c r="G215" s="241"/>
      <c r="H215" s="76">
        <v>177.9</v>
      </c>
      <c r="I215" s="17"/>
      <c r="J215" s="76"/>
      <c r="K215" s="17"/>
      <c r="L215" s="76"/>
      <c r="M215" s="17">
        <v>159.80000000000001</v>
      </c>
      <c r="N215" s="17"/>
      <c r="O215" s="17"/>
      <c r="P215" s="17"/>
      <c r="Q215" s="727"/>
      <c r="R215" s="284"/>
      <c r="S215" s="211"/>
      <c r="T215" s="87"/>
      <c r="U215" s="88"/>
    </row>
    <row r="216" spans="2:21" ht="13.5" hidden="1" thickBot="1" x14ac:dyDescent="0.25">
      <c r="B216" s="77"/>
      <c r="C216" s="212" t="s">
        <v>167</v>
      </c>
      <c r="D216" s="79">
        <v>32.6</v>
      </c>
      <c r="E216" s="209"/>
      <c r="F216" s="249"/>
      <c r="G216" s="242"/>
      <c r="H216" s="79">
        <v>39.299999999999997</v>
      </c>
      <c r="I216" s="209"/>
      <c r="J216" s="79"/>
      <c r="K216" s="209"/>
      <c r="L216" s="79"/>
      <c r="M216" s="209">
        <v>49.1</v>
      </c>
      <c r="N216" s="209"/>
      <c r="O216" s="209"/>
      <c r="P216" s="209"/>
      <c r="Q216" s="742"/>
      <c r="R216" s="285"/>
      <c r="S216" s="210"/>
      <c r="T216" s="163"/>
      <c r="U216" s="164"/>
    </row>
    <row r="217" spans="2:21" ht="33" hidden="1" customHeight="1" thickBot="1" x14ac:dyDescent="0.25">
      <c r="B217" s="110">
        <v>24</v>
      </c>
      <c r="C217" s="70" t="s">
        <v>126</v>
      </c>
      <c r="D217" s="99">
        <v>28.7</v>
      </c>
      <c r="E217" s="71"/>
      <c r="F217" s="100"/>
      <c r="G217" s="101"/>
      <c r="H217" s="99">
        <v>12.7</v>
      </c>
      <c r="I217" s="71"/>
      <c r="J217" s="106"/>
      <c r="K217" s="662"/>
      <c r="L217" s="659"/>
      <c r="M217" s="662">
        <v>12.3</v>
      </c>
      <c r="N217" s="662"/>
      <c r="O217" s="662"/>
      <c r="P217" s="71"/>
      <c r="Q217" s="729"/>
      <c r="R217" s="286"/>
      <c r="S217" s="158"/>
      <c r="T217" s="129"/>
      <c r="U217" s="130"/>
    </row>
    <row r="218" spans="2:21" x14ac:dyDescent="0.2">
      <c r="B218" s="67"/>
      <c r="C218" s="3"/>
      <c r="D218" s="67"/>
      <c r="E218" s="59"/>
      <c r="F218" s="750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1"/>
      <c r="S218" s="1"/>
      <c r="T218" s="1"/>
      <c r="U218" s="1"/>
    </row>
    <row r="219" spans="2:21" x14ac:dyDescent="0.2">
      <c r="F219" s="715"/>
    </row>
    <row r="220" spans="2:21" x14ac:dyDescent="0.2">
      <c r="C220" s="710" t="s">
        <v>227</v>
      </c>
      <c r="F220" s="715"/>
      <c r="G220" s="66" t="s">
        <v>191</v>
      </c>
    </row>
    <row r="221" spans="2:21" x14ac:dyDescent="0.2">
      <c r="F221" s="715"/>
    </row>
    <row r="222" spans="2:21" x14ac:dyDescent="0.2">
      <c r="C222" t="s">
        <v>228</v>
      </c>
      <c r="F222" s="715"/>
    </row>
    <row r="223" spans="2:21" x14ac:dyDescent="0.2">
      <c r="F223" s="715"/>
    </row>
    <row r="224" spans="2:21" x14ac:dyDescent="0.2">
      <c r="C224" t="s">
        <v>121</v>
      </c>
      <c r="F224" s="715"/>
    </row>
  </sheetData>
  <mergeCells count="9">
    <mergeCell ref="K10:L10"/>
    <mergeCell ref="M10:N10"/>
    <mergeCell ref="P10:P11"/>
    <mergeCell ref="O10:O11"/>
    <mergeCell ref="H10:I10"/>
    <mergeCell ref="B113:B128"/>
    <mergeCell ref="C10:C11"/>
    <mergeCell ref="D10:E10"/>
    <mergeCell ref="F10:G10"/>
  </mergeCells>
  <phoneticPr fontId="3" type="noConversion"/>
  <pageMargins left="0.19685039370078741" right="0.19685039370078741" top="0.19685039370078741" bottom="0.19685039370078741" header="0.51181102362204722" footer="0.51181102362204722"/>
  <pageSetup paperSize="9" scale="95" orientation="portrait" verticalDpi="4294967295" r:id="rId1"/>
  <headerFooter alignWithMargins="0"/>
  <rowBreaks count="1" manualBreakCount="1">
    <brk id="13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2016р. </vt:lpstr>
      <vt:lpstr>'2016р.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2017-02-17T07:30:59Z</cp:lastPrinted>
  <dcterms:created xsi:type="dcterms:W3CDTF">1996-10-08T23:32:33Z</dcterms:created>
  <dcterms:modified xsi:type="dcterms:W3CDTF">2017-04-04T07:43:01Z</dcterms:modified>
</cp:coreProperties>
</file>